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Denne_projektmappe"/>
  <mc:AlternateContent xmlns:mc="http://schemas.openxmlformats.org/markup-compatibility/2006">
    <mc:Choice Requires="x15">
      <x15ac:absPath xmlns:x15ac="http://schemas.microsoft.com/office/spreadsheetml/2010/11/ac" url="C:\TIMES models\TIMES-tom\SubRES_TMPL\"/>
    </mc:Choice>
  </mc:AlternateContent>
  <xr:revisionPtr revIDLastSave="0" documentId="13_ncr:1_{889E2E16-957F-4E9F-833D-BE6D981C11F6}" xr6:coauthVersionLast="47" xr6:coauthVersionMax="47" xr10:uidLastSave="{00000000-0000-0000-0000-000000000000}"/>
  <bookViews>
    <workbookView xWindow="8160" yWindow="1908" windowWidth="30960" windowHeight="12204" tabRatio="733" firstSheet="4" activeTab="9" xr2:uid="{00000000-000D-0000-FFFF-FFFF00000000}"/>
  </bookViews>
  <sheets>
    <sheet name="LOG" sheetId="11" r:id="rId1"/>
    <sheet name="Intro" sheetId="16" r:id="rId2"/>
    <sheet name="LCOCO2" sheetId="53" r:id="rId3"/>
    <sheet name="ELC_CCS_Comm" sheetId="12" r:id="rId4"/>
    <sheet name="ELC_CCS_Processes" sheetId="13" r:id="rId5"/>
    <sheet name="ELC_CCS_N_CAP" sheetId="36" r:id="rId6"/>
    <sheet name="IND_CCS" sheetId="52" r:id="rId7"/>
    <sheet name="SUP_DAC" sheetId="33" r:id="rId8"/>
    <sheet name="REFIT" sheetId="44" r:id="rId9"/>
    <sheet name="ELC_CCS_TRA" sheetId="35" r:id="rId10"/>
    <sheet name="ELC_CCS_STO" sheetId="34" r:id="rId11"/>
    <sheet name="Emissions" sheetId="38" r:id="rId12"/>
    <sheet name="DMS marginal prices" sheetId="54" r:id="rId13"/>
    <sheet name="Naming convention" sheetId="39" r:id="rId14"/>
    <sheet name="IND tech" sheetId="51" r:id="rId15"/>
    <sheet name="Adv fossil" sheetId="40" r:id="rId16"/>
    <sheet name="CCS" sheetId="41" r:id="rId17"/>
    <sheet name="Data_Dist_&amp;_CAP" sheetId="42" r:id="rId18"/>
    <sheet name="401.a Post comb - small CHP" sheetId="45" r:id="rId19"/>
    <sheet name="401.b Post comb - Large biomass" sheetId="46" r:id="rId20"/>
    <sheet name="401.c Post comb - Cement kiln" sheetId="47" r:id="rId21"/>
    <sheet name="402.a Oxy-fuel- Large Biomass" sheetId="48" r:id="rId22"/>
    <sheet name="402.b Oxy-fuel Cement" sheetId="49" r:id="rId23"/>
    <sheet name="403.a Direct air capture" sheetId="50" r:id="rId24"/>
  </sheets>
  <externalReferences>
    <externalReference r:id="rId25"/>
    <externalReference r:id="rId26"/>
    <externalReference r:id="rId27"/>
    <externalReference r:id="rId28"/>
    <externalReference r:id="rId29"/>
    <externalReference r:id="rId30"/>
    <externalReference r:id="rId31"/>
    <externalReference r:id="rId32"/>
  </externalReferences>
  <definedNames>
    <definedName name="_xlnm._FilterDatabase" localSheetId="5" hidden="1">ELC_CCS_N_CAP!$A$4:$AB$99</definedName>
    <definedName name="_Order1" hidden="1">255</definedName>
    <definedName name="_Order2" hidden="1">255</definedName>
    <definedName name="BiomassLargeCHP">[1]TechnologyData!$A$14:$M$41</definedName>
    <definedName name="BPslut">[1]Plants!$J$2</definedName>
    <definedName name="E_waste" localSheetId="5">#REF!</definedName>
    <definedName name="E_waste">#REF!</definedName>
    <definedName name="Eksportstigning">[1]Plants!$J$6</definedName>
    <definedName name="ElBoiler">[1]TechnologyData!$O$72:$AA$99</definedName>
    <definedName name="ElPriceMix" localSheetId="5">[1]Subsidy!#REF!</definedName>
    <definedName name="ElPriceMix">[1]Subsidy!#REF!</definedName>
    <definedName name="Euro" localSheetId="5">ELC_CCS_N_CAP!#REF!</definedName>
    <definedName name="Euro">#REF!</definedName>
    <definedName name="Fastprisår">[2]Forside!$B$5</definedName>
    <definedName name="FIXWINOFF" localSheetId="5">'[3]O&amp;M waste and WIN '!$K$13</definedName>
    <definedName name="FIXWINOFF" localSheetId="11">'[4]Adjusted O&amp;M waste and wind '!$K$13</definedName>
    <definedName name="FIXWINOFF">'[5]O&amp;M waste and WIN '!$K$13</definedName>
    <definedName name="FIXWINON" localSheetId="5">'[3]O&amp;M waste and WIN '!$K$14</definedName>
    <definedName name="FIXWINON" localSheetId="11">'[4]Adjusted O&amp;M waste and wind '!$K$14</definedName>
    <definedName name="FIXWINON">'[5]O&amp;M waste and WIN '!$K$14</definedName>
    <definedName name="FIXWSTBO" localSheetId="5">'[6]O&amp;M waste and WIN '!$E$5</definedName>
    <definedName name="FIXWSTBO">'[7]O&amp;M waste and WIN '!$E$5</definedName>
    <definedName name="FIXWSTBP" localSheetId="5">#REF!</definedName>
    <definedName name="FIXWSTBP" localSheetId="11">'[4]Adjusted O&amp;M waste and wind '!$C$4</definedName>
    <definedName name="FIXWSTBP">#REF!</definedName>
    <definedName name="FuelPrices">#REF!</definedName>
    <definedName name="HeatPump_Large">[1]TechnologyData!$O$101:$AA$128</definedName>
    <definedName name="Inflation" localSheetId="5">[1]General!#REF!</definedName>
    <definedName name="Inflation">[1]General!#REF!</definedName>
    <definedName name="LastPSOYear">[1]Plants!$H$2</definedName>
    <definedName name="MWhGJ" localSheetId="5">#REF!</definedName>
    <definedName name="MWhGJ">#REF!</definedName>
    <definedName name="Nettarif">[1]TechnologyData!$F$11</definedName>
    <definedName name="NGCC_SmallBP">[1]TechnologyData!$A$72:$M$99</definedName>
    <definedName name="nhydro" localSheetId="5">[1]General!#REF!</definedName>
    <definedName name="nhydro">[1]General!#REF!</definedName>
    <definedName name="NyeNGCC">[1]Plants!$J$5</definedName>
    <definedName name="OffshoreWindPark">[1]TechnologyData!$O$43:$AA$70</definedName>
    <definedName name="OnshoreWindPark">[1]TechnologyData!$O$14:$AA$41</definedName>
    <definedName name="Prisår_Til_Ramses">#REF!</definedName>
    <definedName name="Real_interest_rate">[8]TechnologyData!$B$37</definedName>
    <definedName name="RefurbishedCoalBioCHP">[1]TechnologyData!$A$43:$M$70</definedName>
    <definedName name="RenovCKV">[1]Plants!$J$4</definedName>
    <definedName name="sheet33">'401.a Post comb - small CHP'!$B$2</definedName>
    <definedName name="sheet34">'401.b Post comb - Large biomass'!$B$2</definedName>
    <definedName name="sheet35">'401.c Post comb - Cement kiln'!$B$2</definedName>
    <definedName name="sheet36">'402.a Oxy-fuel- Large Biomass'!$B$2</definedName>
    <definedName name="sheet37">'402.b Oxy-fuel Cement'!$B$2</definedName>
    <definedName name="sheet38">'403.a Direct air capture'!$B$2</definedName>
    <definedName name="VARWINOFF" localSheetId="5">'[3]O&amp;M waste and WIN '!$L$13</definedName>
    <definedName name="VARWINOFF" localSheetId="11">'[4]Adjusted O&amp;M waste and wind '!$L$13</definedName>
    <definedName name="VARWINOFF">'[5]O&amp;M waste and WIN '!$L$13</definedName>
    <definedName name="VARWINON" localSheetId="5">'[3]O&amp;M waste and WIN '!$L$14</definedName>
    <definedName name="VARWINON" localSheetId="11">'[4]Adjusted O&amp;M waste and wind '!$L$14</definedName>
    <definedName name="VARWINON">'[5]O&amp;M waste and WIN '!$L$14</definedName>
    <definedName name="VARWSTBO" localSheetId="5">#REF!</definedName>
    <definedName name="VARWSTBO" localSheetId="11">'[4]Adjusted O&amp;M waste and wind '!$D$5</definedName>
    <definedName name="VARWSTBO">#REF!</definedName>
    <definedName name="VARWSTBP" localSheetId="5">#REF!</definedName>
    <definedName name="VARWSTBP" localSheetId="11">'[4]Adjusted O&amp;M waste and wind '!$D$4</definedName>
    <definedName name="VARWSTBP">#REF!</definedName>
    <definedName name="WasteCHP">[1]TechnologyData!$A$101:$M$129</definedName>
    <definedName name="Wood_SmallBP">[1]TechnologyData!$A$131:$M$158</definedName>
  </definedNames>
  <calcPr calcId="191029"/>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68" i="35" l="1"/>
  <c r="L60" i="35"/>
  <c r="L140" i="52"/>
  <c r="AJ140" i="52"/>
  <c r="AR196" i="52"/>
  <c r="AR192" i="52"/>
  <c r="AR188" i="52"/>
  <c r="AR184" i="52"/>
  <c r="AR180" i="52"/>
  <c r="AR176" i="52"/>
  <c r="AR172" i="52"/>
  <c r="AR168" i="52"/>
  <c r="AR164" i="52"/>
  <c r="AR160" i="52"/>
  <c r="AR156" i="52"/>
  <c r="AR152" i="52"/>
  <c r="AR148" i="52"/>
  <c r="AR144" i="52"/>
  <c r="AR140" i="52"/>
  <c r="V143" i="52" s="1"/>
  <c r="AR136" i="52"/>
  <c r="AR132" i="52"/>
  <c r="AR128" i="52"/>
  <c r="AR124" i="52"/>
  <c r="AR120" i="52"/>
  <c r="AR116" i="52"/>
  <c r="AR112" i="52"/>
  <c r="AR108" i="52"/>
  <c r="AR104" i="52"/>
  <c r="AR100" i="52"/>
  <c r="AR96" i="52"/>
  <c r="AR92" i="52"/>
  <c r="AR88" i="52"/>
  <c r="AR84" i="52"/>
  <c r="AR80" i="52"/>
  <c r="AR76" i="52"/>
  <c r="AR72" i="52"/>
  <c r="AR68" i="52"/>
  <c r="AR64" i="52"/>
  <c r="AR60" i="52"/>
  <c r="AR56" i="52"/>
  <c r="AR52" i="52"/>
  <c r="AR48" i="52"/>
  <c r="AR44" i="52"/>
  <c r="AR40" i="52"/>
  <c r="AR36" i="52"/>
  <c r="AR32" i="52"/>
  <c r="AR28" i="52"/>
  <c r="AR24" i="52"/>
  <c r="AR20" i="52"/>
  <c r="AR16" i="52"/>
  <c r="AR12" i="52"/>
  <c r="AR8" i="52"/>
  <c r="V119" i="52"/>
  <c r="AS148" i="52"/>
  <c r="AS144" i="52"/>
  <c r="AS140" i="52"/>
  <c r="AS124" i="52"/>
  <c r="AS120" i="52"/>
  <c r="AS116" i="52"/>
  <c r="AS16" i="52"/>
  <c r="AS12" i="52"/>
  <c r="AS8" i="52"/>
  <c r="V11" i="52" l="1"/>
  <c r="AT140" i="52"/>
  <c r="N140" i="52" s="1" a="1"/>
  <c r="N140" i="52" s="1"/>
  <c r="K26" i="53"/>
  <c r="K19" i="53"/>
  <c r="K12" i="53"/>
  <c r="J25" i="53"/>
  <c r="J24" i="53"/>
  <c r="J23" i="53"/>
  <c r="J22" i="53"/>
  <c r="J21" i="53"/>
  <c r="J18" i="53"/>
  <c r="J17" i="53"/>
  <c r="J16" i="53"/>
  <c r="J15" i="53"/>
  <c r="J14" i="53"/>
  <c r="J7" i="53"/>
  <c r="J8" i="53"/>
  <c r="J9" i="53"/>
  <c r="J10" i="53"/>
  <c r="J11" i="53"/>
  <c r="AD143" i="52"/>
  <c r="V151" i="52"/>
  <c r="V147" i="52"/>
  <c r="AC138" i="36"/>
  <c r="AC136" i="36"/>
  <c r="AC131" i="36"/>
  <c r="AC133" i="36"/>
  <c r="AC118" i="36"/>
  <c r="AC115" i="36"/>
  <c r="AC113" i="36"/>
  <c r="AC111" i="36"/>
  <c r="AC109" i="36"/>
  <c r="AC106" i="36"/>
  <c r="AC104" i="36"/>
  <c r="AC102" i="36"/>
  <c r="AC100" i="36"/>
  <c r="AC97" i="36"/>
  <c r="AC93" i="36"/>
  <c r="AD93" i="36"/>
  <c r="AE91" i="36"/>
  <c r="AF91" i="36"/>
  <c r="AD91" i="36"/>
  <c r="AC91" i="36"/>
  <c r="AC88" i="36"/>
  <c r="AC84" i="36"/>
  <c r="AC82" i="36"/>
  <c r="AF79" i="36"/>
  <c r="AE79" i="36"/>
  <c r="AD79" i="36"/>
  <c r="AC79" i="36"/>
  <c r="AC76" i="36"/>
  <c r="AC62" i="36"/>
  <c r="H25" i="53" l="1"/>
  <c r="H18" i="53"/>
  <c r="H11" i="53"/>
  <c r="BE71" i="36"/>
  <c r="BE70" i="36"/>
  <c r="BE69" i="36"/>
  <c r="BD71" i="36"/>
  <c r="BD70" i="36"/>
  <c r="BD69" i="36"/>
  <c r="AF69" i="36"/>
  <c r="J69" i="36"/>
  <c r="AP69" i="36"/>
  <c r="AS69" i="36"/>
  <c r="AD69" i="36"/>
  <c r="AC69" i="36"/>
  <c r="AE69" i="36"/>
  <c r="BC71" i="36"/>
  <c r="BC70" i="36"/>
  <c r="BC69" i="36"/>
  <c r="BC62" i="36"/>
  <c r="BC63" i="36"/>
  <c r="BC64" i="36"/>
  <c r="AC64" i="36"/>
  <c r="AC63" i="36"/>
  <c r="P62" i="36"/>
  <c r="P63" i="36"/>
  <c r="P64" i="36"/>
  <c r="P65" i="36"/>
  <c r="AD62" i="36"/>
  <c r="AF86" i="36" l="1"/>
  <c r="AE86" i="36"/>
  <c r="AD86" i="36"/>
  <c r="AC86" i="36"/>
  <c r="AG86" i="36" s="1"/>
  <c r="AF84" i="36"/>
  <c r="AE84" i="36"/>
  <c r="AG84" i="36" s="1"/>
  <c r="AD84" i="36"/>
  <c r="AF82" i="36"/>
  <c r="AE82" i="36"/>
  <c r="AD82" i="36"/>
  <c r="AG82" i="36" s="1"/>
  <c r="AG79" i="36"/>
  <c r="AF149" i="36"/>
  <c r="AE149" i="36"/>
  <c r="AD149" i="36"/>
  <c r="AC149" i="36"/>
  <c r="AG149" i="36" s="1"/>
  <c r="AF147" i="36"/>
  <c r="AE147" i="36"/>
  <c r="AD147" i="36"/>
  <c r="AC147" i="36"/>
  <c r="AG147" i="36" s="1"/>
  <c r="AF145" i="36"/>
  <c r="AE145" i="36"/>
  <c r="AD145" i="36"/>
  <c r="AC145" i="36"/>
  <c r="AG145" i="36" s="1"/>
  <c r="AF142" i="36"/>
  <c r="AE142" i="36"/>
  <c r="AG142" i="36" s="1"/>
  <c r="AD142" i="36"/>
  <c r="AC142" i="36"/>
  <c r="AF140" i="36"/>
  <c r="AE140" i="36"/>
  <c r="AD140" i="36"/>
  <c r="AC140" i="36"/>
  <c r="AG140" i="36" s="1"/>
  <c r="AF138" i="36"/>
  <c r="AE138" i="36"/>
  <c r="AD138" i="36"/>
  <c r="AG138" i="36"/>
  <c r="AF136" i="36"/>
  <c r="AE136" i="36"/>
  <c r="AD136" i="36"/>
  <c r="AG136" i="36" s="1"/>
  <c r="AF133" i="36"/>
  <c r="AE133" i="36"/>
  <c r="AD133" i="36"/>
  <c r="AG133" i="36"/>
  <c r="AF131" i="36"/>
  <c r="AE131" i="36"/>
  <c r="AG131" i="36" s="1"/>
  <c r="AD131" i="36"/>
  <c r="AF129" i="36"/>
  <c r="AE129" i="36"/>
  <c r="AD129" i="36"/>
  <c r="AG129" i="36" s="1"/>
  <c r="AC129" i="36"/>
  <c r="AF127" i="36"/>
  <c r="AE127" i="36"/>
  <c r="AD127" i="36"/>
  <c r="AC127" i="36"/>
  <c r="AG127" i="36" s="1"/>
  <c r="AF124" i="36"/>
  <c r="AE124" i="36"/>
  <c r="AD124" i="36"/>
  <c r="AC124" i="36"/>
  <c r="AG124" i="36" s="1"/>
  <c r="AF122" i="36"/>
  <c r="AE122" i="36"/>
  <c r="AD122" i="36"/>
  <c r="AC122" i="36"/>
  <c r="AG122" i="36" s="1"/>
  <c r="AF120" i="36"/>
  <c r="AE120" i="36"/>
  <c r="AD120" i="36"/>
  <c r="AC120" i="36"/>
  <c r="AG120" i="36" s="1"/>
  <c r="AF118" i="36"/>
  <c r="AE118" i="36"/>
  <c r="AG118" i="36" s="1"/>
  <c r="AD118" i="36"/>
  <c r="AF115" i="36"/>
  <c r="AE115" i="36"/>
  <c r="AD115" i="36"/>
  <c r="AG115" i="36"/>
  <c r="AF113" i="36"/>
  <c r="AE113" i="36"/>
  <c r="AD113" i="36"/>
  <c r="AG113" i="36" s="1"/>
  <c r="AF111" i="36"/>
  <c r="AE111" i="36"/>
  <c r="AD111" i="36"/>
  <c r="AG111" i="36"/>
  <c r="AF109" i="36"/>
  <c r="AE109" i="36"/>
  <c r="AD109" i="36"/>
  <c r="AG109" i="36"/>
  <c r="AF106" i="36"/>
  <c r="AE106" i="36"/>
  <c r="AD106" i="36"/>
  <c r="AG106" i="36"/>
  <c r="AF104" i="36"/>
  <c r="AE104" i="36"/>
  <c r="AD104" i="36"/>
  <c r="AG104" i="36"/>
  <c r="AF102" i="36"/>
  <c r="AE102" i="36"/>
  <c r="AD102" i="36"/>
  <c r="AG102" i="36"/>
  <c r="AF100" i="36"/>
  <c r="AE100" i="36"/>
  <c r="AD100" i="36"/>
  <c r="AG100" i="36"/>
  <c r="AF97" i="36"/>
  <c r="AE97" i="36"/>
  <c r="AD97" i="36"/>
  <c r="AG97" i="36"/>
  <c r="AE95" i="36"/>
  <c r="AE93" i="36"/>
  <c r="AG70" i="36"/>
  <c r="AC57" i="36"/>
  <c r="AG72" i="36"/>
  <c r="AC72" i="36"/>
  <c r="AF95" i="36"/>
  <c r="AD95" i="36"/>
  <c r="AC95" i="36"/>
  <c r="AF93" i="36"/>
  <c r="AF88" i="36"/>
  <c r="AE88" i="36"/>
  <c r="AD88" i="36"/>
  <c r="AG88" i="36"/>
  <c r="V123" i="52"/>
  <c r="O14" i="47"/>
  <c r="O11" i="47"/>
  <c r="O16" i="47" s="1"/>
  <c r="O17" i="47" s="1"/>
  <c r="S17" i="47"/>
  <c r="R17" i="47"/>
  <c r="Q17" i="47"/>
  <c r="P17" i="47"/>
  <c r="P16" i="47"/>
  <c r="S15" i="47"/>
  <c r="S14" i="47"/>
  <c r="S13" i="47"/>
  <c r="S12" i="47"/>
  <c r="S11" i="47"/>
  <c r="S16" i="47" s="1"/>
  <c r="R15" i="47"/>
  <c r="R14" i="47"/>
  <c r="R13" i="47"/>
  <c r="R12" i="47"/>
  <c r="R11" i="47"/>
  <c r="R16" i="47" s="1"/>
  <c r="Q15" i="47"/>
  <c r="Q14" i="47"/>
  <c r="Q13" i="47"/>
  <c r="Q12" i="47"/>
  <c r="Q11" i="47"/>
  <c r="Q16" i="47" s="1"/>
  <c r="P15" i="47"/>
  <c r="P14" i="47"/>
  <c r="P13" i="47"/>
  <c r="P12" i="47"/>
  <c r="P11" i="47"/>
  <c r="O15" i="47"/>
  <c r="O12" i="47"/>
  <c r="O13" i="47"/>
  <c r="AF15" i="36"/>
  <c r="AG95" i="36" l="1"/>
  <c r="AG93" i="36"/>
  <c r="I15" i="53" s="1"/>
  <c r="AG91" i="36"/>
  <c r="Z10" i="33"/>
  <c r="F14" i="53" s="1"/>
  <c r="Y10" i="33"/>
  <c r="Z12" i="33"/>
  <c r="Z14" i="33"/>
  <c r="F21" i="53" s="1"/>
  <c r="Z8" i="33"/>
  <c r="Z6" i="33"/>
  <c r="F7" i="53" s="1"/>
  <c r="AB6" i="33" l="1"/>
  <c r="I7" i="53" s="1"/>
  <c r="AG44" i="36"/>
  <c r="AG62" i="36"/>
  <c r="AG59" i="36"/>
  <c r="AG58" i="36"/>
  <c r="AG57" i="36"/>
  <c r="AG56" i="36"/>
  <c r="AF78" i="36"/>
  <c r="AF77" i="36"/>
  <c r="AF76" i="36"/>
  <c r="AF71" i="36"/>
  <c r="AF72" i="36"/>
  <c r="I8" i="53"/>
  <c r="D8" i="53" l="1"/>
  <c r="F8" i="53"/>
  <c r="G8" i="53"/>
  <c r="E8" i="53"/>
  <c r="I17" i="53"/>
  <c r="G17" i="53" s="1"/>
  <c r="G18" i="53" s="1"/>
  <c r="E17" i="53"/>
  <c r="E18" i="53" s="1"/>
  <c r="D17" i="53"/>
  <c r="D18" i="53" s="1"/>
  <c r="G21" i="53"/>
  <c r="E21" i="53"/>
  <c r="D21" i="53"/>
  <c r="E14" i="53"/>
  <c r="G14" i="53"/>
  <c r="D14" i="53"/>
  <c r="D7" i="53"/>
  <c r="E7" i="53"/>
  <c r="G7" i="53"/>
  <c r="I22" i="53"/>
  <c r="I23" i="53"/>
  <c r="I9" i="53"/>
  <c r="I16" i="53"/>
  <c r="AE78" i="36"/>
  <c r="AD78" i="36"/>
  <c r="AC78" i="36"/>
  <c r="AG78" i="36" s="1"/>
  <c r="AE77" i="36"/>
  <c r="AD77" i="36"/>
  <c r="AC77" i="36"/>
  <c r="AG77" i="36" s="1"/>
  <c r="AE76" i="36"/>
  <c r="AD76" i="36"/>
  <c r="AG76" i="36"/>
  <c r="AE72" i="36"/>
  <c r="AD72" i="36"/>
  <c r="AG71" i="36"/>
  <c r="I24" i="53" s="1"/>
  <c r="G24" i="53" s="1"/>
  <c r="G25" i="53" s="1"/>
  <c r="AE71" i="36"/>
  <c r="AD71" i="36"/>
  <c r="AC71" i="36"/>
  <c r="AF70" i="36"/>
  <c r="AE70" i="36"/>
  <c r="AD70" i="36"/>
  <c r="AC70" i="36"/>
  <c r="AF65" i="36"/>
  <c r="AE65" i="36"/>
  <c r="AD65" i="36"/>
  <c r="AG65" i="36" s="1"/>
  <c r="AC65" i="36"/>
  <c r="AF64" i="36"/>
  <c r="AE64" i="36"/>
  <c r="AD64" i="36"/>
  <c r="AG64" i="36" s="1"/>
  <c r="AF63" i="36"/>
  <c r="AE63" i="36"/>
  <c r="AD63" i="36"/>
  <c r="AG63" i="36" s="1"/>
  <c r="AF62" i="36"/>
  <c r="AE62" i="36"/>
  <c r="AF59" i="36"/>
  <c r="AE59" i="36"/>
  <c r="AD59" i="36"/>
  <c r="AC59" i="36"/>
  <c r="AF58" i="36"/>
  <c r="AE58" i="36"/>
  <c r="AD58" i="36"/>
  <c r="AC58" i="36"/>
  <c r="AF57" i="36"/>
  <c r="AE57" i="36"/>
  <c r="AD57" i="36"/>
  <c r="AF56" i="36"/>
  <c r="AE56" i="36"/>
  <c r="AD56" i="36"/>
  <c r="AC56" i="36"/>
  <c r="AF53" i="36"/>
  <c r="AE53" i="36"/>
  <c r="AD53" i="36"/>
  <c r="AG53" i="36" s="1"/>
  <c r="AC53" i="36"/>
  <c r="AF52" i="36"/>
  <c r="AE52" i="36"/>
  <c r="AD52" i="36"/>
  <c r="AG52" i="36" s="1"/>
  <c r="AC52" i="36"/>
  <c r="AF51" i="36"/>
  <c r="AE51" i="36"/>
  <c r="AD51" i="36"/>
  <c r="AC51" i="36"/>
  <c r="AG51" i="36" s="1"/>
  <c r="AF50" i="36"/>
  <c r="AE50" i="36"/>
  <c r="AD50" i="36"/>
  <c r="AG50" i="36" s="1"/>
  <c r="AC50" i="36"/>
  <c r="AF47" i="36"/>
  <c r="AE47" i="36"/>
  <c r="AG47" i="36" s="1"/>
  <c r="AD47" i="36"/>
  <c r="AC47" i="36"/>
  <c r="AF46" i="36"/>
  <c r="AE46" i="36"/>
  <c r="AG46" i="36" s="1"/>
  <c r="AD46" i="36"/>
  <c r="AC46" i="36"/>
  <c r="AF45" i="36"/>
  <c r="AE45" i="36"/>
  <c r="AG45" i="36" s="1"/>
  <c r="AD45" i="36"/>
  <c r="AC45" i="36"/>
  <c r="AF44" i="36"/>
  <c r="AE44" i="36"/>
  <c r="AD44" i="36"/>
  <c r="AC44" i="36"/>
  <c r="AF41" i="36"/>
  <c r="AE41" i="36"/>
  <c r="AG41" i="36" s="1"/>
  <c r="AD41" i="36"/>
  <c r="AC41" i="36"/>
  <c r="AF40" i="36"/>
  <c r="AE40" i="36"/>
  <c r="AD40" i="36"/>
  <c r="AC40" i="36"/>
  <c r="AG40" i="36" s="1"/>
  <c r="AF39" i="36"/>
  <c r="AE39" i="36"/>
  <c r="AG39" i="36" s="1"/>
  <c r="AD39" i="36"/>
  <c r="AC39" i="36"/>
  <c r="AF38" i="36"/>
  <c r="AE38" i="36"/>
  <c r="AD38" i="36"/>
  <c r="AC38" i="36"/>
  <c r="AG38" i="36" s="1"/>
  <c r="AF35" i="36"/>
  <c r="AE35" i="36"/>
  <c r="AG35" i="36" s="1"/>
  <c r="AD35" i="36"/>
  <c r="AC35" i="36"/>
  <c r="AF34" i="36"/>
  <c r="AE34" i="36"/>
  <c r="AD34" i="36"/>
  <c r="AC34" i="36"/>
  <c r="AG34" i="36" s="1"/>
  <c r="AF33" i="36"/>
  <c r="AE33" i="36"/>
  <c r="AD33" i="36"/>
  <c r="AC33" i="36"/>
  <c r="AG33" i="36" s="1"/>
  <c r="AF32" i="36"/>
  <c r="AE32" i="36"/>
  <c r="AD32" i="36"/>
  <c r="AG32" i="36" s="1"/>
  <c r="AC32" i="36"/>
  <c r="AF29" i="36"/>
  <c r="AE29" i="36"/>
  <c r="AD29" i="36"/>
  <c r="AC29" i="36"/>
  <c r="AG29" i="36" s="1"/>
  <c r="AF28" i="36"/>
  <c r="AE28" i="36"/>
  <c r="AD28" i="36"/>
  <c r="AC28" i="36"/>
  <c r="AG28" i="36" s="1"/>
  <c r="AF27" i="36"/>
  <c r="AE27" i="36"/>
  <c r="AD27" i="36"/>
  <c r="AC27" i="36"/>
  <c r="AG27" i="36" s="1"/>
  <c r="AF26" i="36"/>
  <c r="AE26" i="36"/>
  <c r="AG26" i="36" s="1"/>
  <c r="AD26" i="36"/>
  <c r="AC26" i="36"/>
  <c r="AF23" i="36"/>
  <c r="AE23" i="36"/>
  <c r="AD23" i="36"/>
  <c r="AC23" i="36"/>
  <c r="AG23" i="36" s="1"/>
  <c r="AF22" i="36"/>
  <c r="AE22" i="36"/>
  <c r="AD22" i="36"/>
  <c r="AC22" i="36"/>
  <c r="AG22" i="36" s="1"/>
  <c r="AF21" i="36"/>
  <c r="AE21" i="36"/>
  <c r="AD21" i="36"/>
  <c r="AC21" i="36"/>
  <c r="AG21" i="36" s="1"/>
  <c r="AF20" i="36"/>
  <c r="AE20" i="36"/>
  <c r="AD20" i="36"/>
  <c r="AC20" i="36"/>
  <c r="AG20" i="36" s="1"/>
  <c r="AF17" i="36"/>
  <c r="AE17" i="36"/>
  <c r="AD17" i="36"/>
  <c r="AC17" i="36"/>
  <c r="AG17" i="36" s="1"/>
  <c r="AF16" i="36"/>
  <c r="AE16" i="36"/>
  <c r="AD16" i="36"/>
  <c r="AC16" i="36"/>
  <c r="AG16" i="36" s="1"/>
  <c r="AE15" i="36"/>
  <c r="AD15" i="36"/>
  <c r="AC15" i="36"/>
  <c r="AG15" i="36" s="1"/>
  <c r="AF14" i="36"/>
  <c r="AE14" i="36"/>
  <c r="AD14" i="36"/>
  <c r="AC14" i="36"/>
  <c r="AG14" i="36" s="1"/>
  <c r="AF11" i="36"/>
  <c r="AE11" i="36"/>
  <c r="AD11" i="36"/>
  <c r="AC11" i="36"/>
  <c r="AG11" i="36" s="1"/>
  <c r="AF10" i="36"/>
  <c r="AF9" i="36"/>
  <c r="AF8" i="36"/>
  <c r="AF5" i="36"/>
  <c r="AE5" i="36"/>
  <c r="AE10" i="36"/>
  <c r="AE8" i="36"/>
  <c r="AE9" i="36"/>
  <c r="AD10" i="36"/>
  <c r="AC10" i="36"/>
  <c r="AD9" i="36"/>
  <c r="AC9" i="36"/>
  <c r="AD8" i="36"/>
  <c r="AC8" i="36"/>
  <c r="AD5" i="36"/>
  <c r="AC5" i="36"/>
  <c r="X10" i="33"/>
  <c r="AB10" i="33" s="1"/>
  <c r="I14" i="53" s="1"/>
  <c r="AB12" i="33"/>
  <c r="Y14" i="33"/>
  <c r="X14" i="33"/>
  <c r="AB14" i="33" s="1"/>
  <c r="I21" i="53" s="1"/>
  <c r="Y12" i="33"/>
  <c r="X12" i="33"/>
  <c r="Y8" i="33"/>
  <c r="X8" i="33"/>
  <c r="AB8" i="33" s="1"/>
  <c r="Y6" i="33"/>
  <c r="X6" i="33"/>
  <c r="K6" i="33"/>
  <c r="G197" i="54"/>
  <c r="G196" i="54"/>
  <c r="G195" i="54"/>
  <c r="G194" i="54"/>
  <c r="G68" i="54" s="1"/>
  <c r="G193" i="54"/>
  <c r="G192" i="54"/>
  <c r="G191" i="54"/>
  <c r="G190" i="54"/>
  <c r="G181" i="54"/>
  <c r="G55" i="54" s="1"/>
  <c r="G180" i="54"/>
  <c r="G179" i="54"/>
  <c r="G178" i="54"/>
  <c r="G52" i="54" s="1"/>
  <c r="G177" i="54"/>
  <c r="G51" i="54" s="1"/>
  <c r="G176" i="54"/>
  <c r="G50" i="54" s="1"/>
  <c r="G175" i="54"/>
  <c r="G49" i="54" s="1"/>
  <c r="G174" i="54"/>
  <c r="G48" i="54" s="1"/>
  <c r="G165" i="54"/>
  <c r="G39" i="54" s="1"/>
  <c r="G164" i="54"/>
  <c r="G38" i="54" s="1"/>
  <c r="G163" i="54"/>
  <c r="G162" i="54"/>
  <c r="G36" i="54" s="1"/>
  <c r="G161" i="54"/>
  <c r="G160" i="54"/>
  <c r="G159" i="54"/>
  <c r="G158" i="54"/>
  <c r="G133" i="54"/>
  <c r="G132" i="54"/>
  <c r="G131" i="54"/>
  <c r="G130" i="54"/>
  <c r="G67" i="54" s="1"/>
  <c r="G129" i="54"/>
  <c r="G66" i="54" s="1"/>
  <c r="G128" i="54"/>
  <c r="G65" i="54" s="1"/>
  <c r="G127" i="54"/>
  <c r="G64" i="54" s="1"/>
  <c r="G126" i="54"/>
  <c r="G63" i="54" s="1"/>
  <c r="G117" i="54"/>
  <c r="G54" i="54" s="1"/>
  <c r="G116" i="54"/>
  <c r="G53" i="54" s="1"/>
  <c r="G115" i="54"/>
  <c r="G114" i="54"/>
  <c r="G113" i="54"/>
  <c r="G112" i="54"/>
  <c r="G111" i="54"/>
  <c r="G110" i="54"/>
  <c r="G101" i="54"/>
  <c r="G100" i="54"/>
  <c r="G37" i="54" s="1"/>
  <c r="G99" i="54"/>
  <c r="G98" i="54"/>
  <c r="G35" i="54" s="1"/>
  <c r="G97" i="54"/>
  <c r="G34" i="54" s="1"/>
  <c r="G96" i="54"/>
  <c r="G33" i="54" s="1"/>
  <c r="G95" i="54"/>
  <c r="G32" i="54" s="1"/>
  <c r="G70" i="54"/>
  <c r="G69" i="54"/>
  <c r="G62" i="54"/>
  <c r="G61" i="54"/>
  <c r="G60" i="54"/>
  <c r="G59" i="54"/>
  <c r="G58" i="54"/>
  <c r="G57" i="54"/>
  <c r="G56" i="54"/>
  <c r="G47" i="54"/>
  <c r="G46" i="54"/>
  <c r="G45" i="54"/>
  <c r="G44" i="54"/>
  <c r="G43" i="54"/>
  <c r="G42" i="54"/>
  <c r="G41" i="54"/>
  <c r="G40" i="54"/>
  <c r="G31" i="54"/>
  <c r="G30" i="54"/>
  <c r="G29" i="54"/>
  <c r="G28" i="54"/>
  <c r="G27" i="54"/>
  <c r="G26" i="54"/>
  <c r="G25" i="54"/>
  <c r="G24" i="54"/>
  <c r="G23" i="54"/>
  <c r="G22" i="54"/>
  <c r="G21" i="54"/>
  <c r="G20" i="54"/>
  <c r="G19" i="54"/>
  <c r="G18" i="54"/>
  <c r="G17" i="54"/>
  <c r="G16" i="54"/>
  <c r="G15" i="54"/>
  <c r="G14" i="54"/>
  <c r="G13" i="54"/>
  <c r="G12" i="54"/>
  <c r="G11" i="54"/>
  <c r="G10" i="54"/>
  <c r="G9" i="54"/>
  <c r="G8" i="54"/>
  <c r="F17" i="53" l="1"/>
  <c r="F18" i="53" s="1"/>
  <c r="I18" i="53" s="1"/>
  <c r="E22" i="53"/>
  <c r="D22" i="53"/>
  <c r="F22" i="53"/>
  <c r="G22" i="53"/>
  <c r="F23" i="53"/>
  <c r="D16" i="53"/>
  <c r="D23" i="53"/>
  <c r="F16" i="53"/>
  <c r="E23" i="53"/>
  <c r="E16" i="53"/>
  <c r="G23" i="53"/>
  <c r="G16" i="53"/>
  <c r="D9" i="53"/>
  <c r="E9" i="53"/>
  <c r="G9" i="53"/>
  <c r="F9" i="53"/>
  <c r="D15" i="53"/>
  <c r="F15" i="53"/>
  <c r="E15" i="53"/>
  <c r="G15" i="53"/>
  <c r="D24" i="53"/>
  <c r="D25" i="53" s="1"/>
  <c r="E24" i="53"/>
  <c r="F24" i="53"/>
  <c r="F25" i="53" s="1"/>
  <c r="AG10" i="36"/>
  <c r="AG5" i="36"/>
  <c r="AG9" i="36"/>
  <c r="AG8" i="36"/>
  <c r="V7" i="33"/>
  <c r="V17" i="33" s="1"/>
  <c r="V9" i="33"/>
  <c r="V19" i="33" s="1"/>
  <c r="V11" i="33"/>
  <c r="V21" i="33" s="1"/>
  <c r="V13" i="33"/>
  <c r="V23" i="33" s="1"/>
  <c r="V15" i="33"/>
  <c r="V25" i="33" s="1"/>
  <c r="I6" i="33"/>
  <c r="I25" i="53" l="1"/>
  <c r="P17" i="50"/>
  <c r="P15" i="50"/>
  <c r="P14" i="50"/>
  <c r="P13" i="50"/>
  <c r="P12" i="50"/>
  <c r="P11" i="50"/>
  <c r="P9" i="50"/>
  <c r="P10" i="50"/>
  <c r="C30" i="13" l="1"/>
  <c r="C31" i="13"/>
  <c r="C32" i="13"/>
  <c r="D32" i="13" s="1"/>
  <c r="C33" i="13"/>
  <c r="C34" i="13"/>
  <c r="C35" i="13"/>
  <c r="C36" i="13"/>
  <c r="C37" i="13"/>
  <c r="C38" i="13"/>
  <c r="C39" i="13"/>
  <c r="C40" i="13"/>
  <c r="C41" i="13"/>
  <c r="C42" i="13"/>
  <c r="C43" i="13"/>
  <c r="C44" i="13"/>
  <c r="C29" i="13"/>
  <c r="D29" i="13" s="1"/>
  <c r="D44" i="13"/>
  <c r="D43" i="13"/>
  <c r="D42" i="13"/>
  <c r="D41" i="13"/>
  <c r="D40" i="13"/>
  <c r="D39" i="13"/>
  <c r="D38" i="13"/>
  <c r="D37" i="13"/>
  <c r="D36" i="13"/>
  <c r="D35" i="13"/>
  <c r="D34" i="13"/>
  <c r="D33" i="13"/>
  <c r="D31" i="13"/>
  <c r="D30" i="13"/>
  <c r="K90" i="36" l="1"/>
  <c r="S52" i="41"/>
  <c r="I98" i="36"/>
  <c r="L55" i="41"/>
  <c r="O97" i="36"/>
  <c r="D77" i="13" l="1"/>
  <c r="D78" i="13"/>
  <c r="D79" i="13"/>
  <c r="D80" i="13"/>
  <c r="D81" i="13"/>
  <c r="D82" i="13"/>
  <c r="D83" i="13"/>
  <c r="D84" i="13"/>
  <c r="D85" i="13"/>
  <c r="D86" i="13"/>
  <c r="D87" i="13"/>
  <c r="D88" i="13"/>
  <c r="D89" i="13"/>
  <c r="D90" i="13"/>
  <c r="D91" i="13"/>
  <c r="D76" i="13"/>
  <c r="I15" i="33" l="1"/>
  <c r="I13" i="33"/>
  <c r="I11" i="33"/>
  <c r="I9" i="33"/>
  <c r="I7" i="33"/>
  <c r="I14" i="33" l="1"/>
  <c r="I12" i="33"/>
  <c r="I10" i="33"/>
  <c r="I8" i="33"/>
  <c r="L14" i="33"/>
  <c r="L12" i="33"/>
  <c r="L10" i="33"/>
  <c r="L8" i="33"/>
  <c r="L6" i="33"/>
  <c r="K14" i="33"/>
  <c r="K12" i="33"/>
  <c r="K10" i="33"/>
  <c r="K8" i="33"/>
  <c r="D8" i="52" l="1"/>
  <c r="D20" i="52"/>
  <c r="D32" i="52"/>
  <c r="D44" i="52"/>
  <c r="D56" i="52"/>
  <c r="D68" i="52"/>
  <c r="D80" i="52"/>
  <c r="D92" i="52"/>
  <c r="D104" i="52"/>
  <c r="D116" i="52"/>
  <c r="D128" i="52"/>
  <c r="D140" i="52"/>
  <c r="D152" i="52"/>
  <c r="D164" i="52"/>
  <c r="D176" i="52"/>
  <c r="D188" i="52"/>
  <c r="I198" i="52"/>
  <c r="I194" i="52"/>
  <c r="I190" i="52"/>
  <c r="I186" i="52"/>
  <c r="I182" i="52"/>
  <c r="I178" i="52"/>
  <c r="I174" i="52"/>
  <c r="I170" i="52"/>
  <c r="I166" i="52"/>
  <c r="I162" i="52"/>
  <c r="I158" i="52"/>
  <c r="I154" i="52"/>
  <c r="I150" i="52"/>
  <c r="I146" i="52"/>
  <c r="I142" i="52"/>
  <c r="I138" i="52"/>
  <c r="I134" i="52"/>
  <c r="I130" i="52"/>
  <c r="I126" i="52"/>
  <c r="I122" i="52"/>
  <c r="I118" i="52"/>
  <c r="I114" i="52"/>
  <c r="I110" i="52"/>
  <c r="I106" i="52"/>
  <c r="I102" i="52"/>
  <c r="I98" i="52"/>
  <c r="I94" i="52"/>
  <c r="I90" i="52"/>
  <c r="I86" i="52"/>
  <c r="I82" i="52"/>
  <c r="I78" i="52"/>
  <c r="I74" i="52"/>
  <c r="I70" i="52"/>
  <c r="I66" i="52"/>
  <c r="I62" i="52"/>
  <c r="I58" i="52"/>
  <c r="I54" i="52"/>
  <c r="I50" i="52"/>
  <c r="I46" i="52"/>
  <c r="I42" i="52"/>
  <c r="I38" i="52"/>
  <c r="I34" i="52"/>
  <c r="I30" i="52"/>
  <c r="I26" i="52"/>
  <c r="I22" i="52"/>
  <c r="I18" i="52"/>
  <c r="I14" i="52"/>
  <c r="I10" i="52"/>
  <c r="F188" i="52"/>
  <c r="F192" i="52" s="1"/>
  <c r="F196" i="52" s="1"/>
  <c r="F176" i="52"/>
  <c r="F180" i="52" s="1"/>
  <c r="F184" i="52" s="1"/>
  <c r="F164" i="52"/>
  <c r="F168" i="52" s="1"/>
  <c r="F172" i="52" s="1"/>
  <c r="F152" i="52"/>
  <c r="F156" i="52" s="1"/>
  <c r="F160" i="52" s="1"/>
  <c r="F140" i="52"/>
  <c r="F144" i="52" s="1"/>
  <c r="F148" i="52" s="1"/>
  <c r="F128" i="52"/>
  <c r="F132" i="52" s="1"/>
  <c r="F136" i="52" s="1"/>
  <c r="F116" i="52"/>
  <c r="F120" i="52" s="1"/>
  <c r="F124" i="52" s="1"/>
  <c r="F104" i="52"/>
  <c r="F108" i="52" s="1"/>
  <c r="F112" i="52" s="1"/>
  <c r="F92" i="52"/>
  <c r="F96" i="52" s="1"/>
  <c r="F100" i="52" s="1"/>
  <c r="F80" i="52"/>
  <c r="F84" i="52" s="1"/>
  <c r="F88" i="52" s="1"/>
  <c r="F68" i="52"/>
  <c r="F56" i="52"/>
  <c r="F44" i="52"/>
  <c r="F32" i="52"/>
  <c r="F20" i="52"/>
  <c r="F8" i="52"/>
  <c r="C188" i="52"/>
  <c r="H188" i="52" s="1"/>
  <c r="C176" i="52"/>
  <c r="H176" i="52" s="1"/>
  <c r="C164" i="52"/>
  <c r="A164" i="52" s="1"/>
  <c r="C152" i="52"/>
  <c r="H152" i="52" s="1"/>
  <c r="C140" i="52"/>
  <c r="C128" i="52"/>
  <c r="A128" i="52" s="1"/>
  <c r="AM188" i="52"/>
  <c r="AM176" i="52"/>
  <c r="AM164" i="52"/>
  <c r="AM152" i="52"/>
  <c r="AM140" i="52"/>
  <c r="H140" i="52"/>
  <c r="AM128" i="52"/>
  <c r="C116" i="52"/>
  <c r="A116" i="52" s="1"/>
  <c r="C104" i="52"/>
  <c r="C92" i="52"/>
  <c r="H92" i="52" s="1"/>
  <c r="C80" i="52"/>
  <c r="H80" i="52" s="1"/>
  <c r="AM116" i="52"/>
  <c r="AM104" i="52"/>
  <c r="H104" i="52"/>
  <c r="AM92" i="52"/>
  <c r="AM80" i="52"/>
  <c r="C68" i="52"/>
  <c r="H68" i="52" s="1"/>
  <c r="C56" i="52"/>
  <c r="H56" i="52" s="1"/>
  <c r="C44" i="52"/>
  <c r="H44" i="52" s="1"/>
  <c r="C32" i="52"/>
  <c r="H32" i="52" s="1"/>
  <c r="C20" i="52"/>
  <c r="H20" i="52" s="1"/>
  <c r="C8" i="52"/>
  <c r="A176" i="52" l="1"/>
  <c r="S176" i="52" s="1" a="1"/>
  <c r="S176" i="52" s="1"/>
  <c r="A188" i="52"/>
  <c r="A189" i="52" s="1"/>
  <c r="A190" i="52" s="1"/>
  <c r="A191" i="52" s="1"/>
  <c r="A192" i="52" s="1"/>
  <c r="A152" i="52"/>
  <c r="S152" i="52" s="1" a="1"/>
  <c r="S152" i="52" s="1"/>
  <c r="H192" i="52"/>
  <c r="AS188" i="52"/>
  <c r="V190" i="52" a="1"/>
  <c r="V190" i="52" s="1"/>
  <c r="M188" i="52" a="1"/>
  <c r="M188" i="52" s="1"/>
  <c r="Q188" i="52" a="1"/>
  <c r="Q188" i="52" s="1"/>
  <c r="H180" i="52"/>
  <c r="AS176" i="52"/>
  <c r="A177" i="52"/>
  <c r="A178" i="52" s="1"/>
  <c r="A179" i="52" s="1"/>
  <c r="A180" i="52" s="1"/>
  <c r="AF176" i="52" a="1"/>
  <c r="AF176" i="52" s="1"/>
  <c r="V178" i="52" a="1"/>
  <c r="V178" i="52" s="1"/>
  <c r="M176" i="52" a="1"/>
  <c r="M176" i="52" s="1"/>
  <c r="Q176" i="52" a="1"/>
  <c r="Q176" i="52" s="1"/>
  <c r="S164" i="52" a="1"/>
  <c r="S164" i="52" s="1"/>
  <c r="Q164" i="52" a="1"/>
  <c r="Q164" i="52" s="1"/>
  <c r="M164" i="52" a="1"/>
  <c r="M164" i="52" s="1"/>
  <c r="V166" i="52" a="1"/>
  <c r="V166" i="52" s="1"/>
  <c r="AF164" i="52" a="1"/>
  <c r="AF164" i="52" s="1"/>
  <c r="A165" i="52"/>
  <c r="A166" i="52" s="1"/>
  <c r="A167" i="52" s="1"/>
  <c r="A168" i="52" s="1"/>
  <c r="H164" i="52"/>
  <c r="H156" i="52"/>
  <c r="AS152" i="52"/>
  <c r="A153" i="52"/>
  <c r="A154" i="52" s="1"/>
  <c r="A155" i="52" s="1"/>
  <c r="A156" i="52" s="1"/>
  <c r="AF152" i="52" a="1"/>
  <c r="AF152" i="52" s="1"/>
  <c r="V154" i="52" a="1"/>
  <c r="V154" i="52" s="1"/>
  <c r="M152" i="52" a="1"/>
  <c r="M152" i="52" s="1"/>
  <c r="Q152" i="52" a="1"/>
  <c r="Q152" i="52" s="1"/>
  <c r="H144" i="52"/>
  <c r="A140" i="52"/>
  <c r="A129" i="52"/>
  <c r="A130" i="52" s="1"/>
  <c r="A131" i="52" s="1"/>
  <c r="A132" i="52" s="1"/>
  <c r="S128" i="52" a="1"/>
  <c r="S128" i="52" s="1"/>
  <c r="Q128" i="52" a="1"/>
  <c r="Q128" i="52" s="1"/>
  <c r="AF128" i="52" a="1"/>
  <c r="AF128" i="52" s="1"/>
  <c r="M128" i="52" a="1"/>
  <c r="M128" i="52" s="1"/>
  <c r="V130" i="52" a="1"/>
  <c r="V130" i="52" s="1"/>
  <c r="H128" i="52"/>
  <c r="S116" i="52" a="1"/>
  <c r="S116" i="52" s="1"/>
  <c r="Q116" i="52" a="1"/>
  <c r="Q116" i="52" s="1"/>
  <c r="M116" i="52" a="1"/>
  <c r="M116" i="52" s="1"/>
  <c r="AF116" i="52" a="1"/>
  <c r="AF116" i="52" s="1"/>
  <c r="A117" i="52"/>
  <c r="A118" i="52" s="1"/>
  <c r="A119" i="52" s="1"/>
  <c r="A120" i="52" s="1"/>
  <c r="V118" i="52" a="1"/>
  <c r="V118" i="52" s="1"/>
  <c r="H116" i="52"/>
  <c r="H108" i="52"/>
  <c r="AS104" i="52"/>
  <c r="A104" i="52"/>
  <c r="AS92" i="52"/>
  <c r="H96" i="52"/>
  <c r="A92" i="52"/>
  <c r="AS80" i="52"/>
  <c r="H84" i="52"/>
  <c r="A80" i="52"/>
  <c r="S188" i="52" l="1" a="1"/>
  <c r="S188" i="52" s="1"/>
  <c r="AF188" i="52" a="1"/>
  <c r="AF188" i="52" s="1"/>
  <c r="V194" i="52" a="1"/>
  <c r="V194" i="52" s="1"/>
  <c r="AF192" i="52" a="1"/>
  <c r="AF192" i="52" s="1"/>
  <c r="A193" i="52"/>
  <c r="A194" i="52" s="1"/>
  <c r="A195" i="52" s="1"/>
  <c r="A196" i="52" s="1"/>
  <c r="H196" i="52"/>
  <c r="AS196" i="52" s="1"/>
  <c r="AS192" i="52"/>
  <c r="A181" i="52"/>
  <c r="A182" i="52" s="1"/>
  <c r="A183" i="52" s="1"/>
  <c r="A184" i="52" s="1"/>
  <c r="AF180" i="52" a="1"/>
  <c r="AF180" i="52" s="1"/>
  <c r="V182" i="52" a="1"/>
  <c r="V182" i="52" s="1"/>
  <c r="H184" i="52"/>
  <c r="AS184" i="52" s="1"/>
  <c r="AS180" i="52"/>
  <c r="H168" i="52"/>
  <c r="AS164" i="52"/>
  <c r="V170" i="52" a="1"/>
  <c r="V170" i="52" s="1"/>
  <c r="AF168" i="52" a="1"/>
  <c r="AF168" i="52" s="1"/>
  <c r="A169" i="52"/>
  <c r="A170" i="52" s="1"/>
  <c r="A171" i="52" s="1"/>
  <c r="A172" i="52" s="1"/>
  <c r="V158" i="52" a="1"/>
  <c r="V158" i="52" s="1"/>
  <c r="AF156" i="52" a="1"/>
  <c r="AF156" i="52" s="1"/>
  <c r="A157" i="52"/>
  <c r="A158" i="52" s="1"/>
  <c r="A159" i="52" s="1"/>
  <c r="A160" i="52" s="1"/>
  <c r="H160" i="52"/>
  <c r="AS160" i="52" s="1"/>
  <c r="AS156" i="52"/>
  <c r="S140" i="52" a="1"/>
  <c r="S140" i="52" s="1"/>
  <c r="Q140" i="52" a="1"/>
  <c r="Q140" i="52" s="1"/>
  <c r="AF140" i="52" a="1"/>
  <c r="AF140" i="52" s="1"/>
  <c r="M140" i="52" a="1"/>
  <c r="M140" i="52" s="1"/>
  <c r="V142" i="52" a="1"/>
  <c r="V142" i="52" s="1"/>
  <c r="A141" i="52"/>
  <c r="A142" i="52" s="1"/>
  <c r="A143" i="52" s="1"/>
  <c r="A144" i="52" s="1"/>
  <c r="H148" i="52"/>
  <c r="AS128" i="52"/>
  <c r="H132" i="52"/>
  <c r="V134" i="52" a="1"/>
  <c r="V134" i="52" s="1"/>
  <c r="AF132" i="52" a="1"/>
  <c r="AF132" i="52" s="1"/>
  <c r="A133" i="52"/>
  <c r="A134" i="52" s="1"/>
  <c r="A135" i="52" s="1"/>
  <c r="A136" i="52" s="1"/>
  <c r="H120" i="52"/>
  <c r="V122" i="52" a="1"/>
  <c r="V122" i="52" s="1"/>
  <c r="AF120" i="52" a="1"/>
  <c r="AF120" i="52" s="1"/>
  <c r="A121" i="52"/>
  <c r="A122" i="52" s="1"/>
  <c r="A123" i="52" s="1"/>
  <c r="A124" i="52" s="1"/>
  <c r="Q104" i="52" a="1"/>
  <c r="Q104" i="52" s="1"/>
  <c r="AF104" i="52" a="1"/>
  <c r="AF104" i="52" s="1"/>
  <c r="S104" i="52" a="1"/>
  <c r="S104" i="52" s="1"/>
  <c r="A105" i="52"/>
  <c r="A106" i="52" s="1"/>
  <c r="A107" i="52" s="1"/>
  <c r="A108" i="52" s="1"/>
  <c r="M104" i="52" a="1"/>
  <c r="M104" i="52" s="1"/>
  <c r="H112" i="52"/>
  <c r="AS112" i="52" s="1"/>
  <c r="AS108" i="52"/>
  <c r="S92" i="52" a="1"/>
  <c r="S92" i="52" s="1"/>
  <c r="Q92" i="52" a="1"/>
  <c r="Q92" i="52" s="1"/>
  <c r="M92" i="52" a="1"/>
  <c r="M92" i="52" s="1"/>
  <c r="AF92" i="52" a="1"/>
  <c r="AF92" i="52" s="1"/>
  <c r="A93" i="52"/>
  <c r="A94" i="52" s="1"/>
  <c r="A95" i="52" s="1"/>
  <c r="A96" i="52" s="1"/>
  <c r="V94" i="52" a="1"/>
  <c r="V94" i="52" s="1"/>
  <c r="H100" i="52"/>
  <c r="AS100" i="52" s="1"/>
  <c r="AS96" i="52"/>
  <c r="S80" i="52" a="1"/>
  <c r="S80" i="52" s="1"/>
  <c r="Q80" i="52" a="1"/>
  <c r="Q80" i="52" s="1"/>
  <c r="V82" i="52" a="1"/>
  <c r="V82" i="52" s="1"/>
  <c r="M80" i="52" a="1"/>
  <c r="M80" i="52" s="1"/>
  <c r="AF80" i="52" a="1"/>
  <c r="AF80" i="52" s="1"/>
  <c r="A81" i="52"/>
  <c r="A82" i="52" s="1"/>
  <c r="A83" i="52" s="1"/>
  <c r="A84" i="52" s="1"/>
  <c r="H88" i="52"/>
  <c r="AS88" i="52" s="1"/>
  <c r="AS84" i="52"/>
  <c r="V198" i="52" l="1" a="1"/>
  <c r="V198" i="52" s="1"/>
  <c r="AF196" i="52" a="1"/>
  <c r="AF196" i="52" s="1"/>
  <c r="A197" i="52"/>
  <c r="A198" i="52" s="1"/>
  <c r="A199" i="52" s="1"/>
  <c r="V191" i="52"/>
  <c r="V186" i="52" a="1"/>
  <c r="V186" i="52" s="1"/>
  <c r="AF184" i="52" a="1"/>
  <c r="AF184" i="52" s="1"/>
  <c r="A185" i="52"/>
  <c r="A186" i="52" s="1"/>
  <c r="A187" i="52" s="1"/>
  <c r="V179" i="52"/>
  <c r="V167" i="52"/>
  <c r="V174" i="52" a="1"/>
  <c r="V174" i="52" s="1"/>
  <c r="AF172" i="52" a="1"/>
  <c r="AF172" i="52" s="1"/>
  <c r="A173" i="52"/>
  <c r="A174" i="52" s="1"/>
  <c r="A175" i="52" s="1"/>
  <c r="H172" i="52"/>
  <c r="AS172" i="52" s="1"/>
  <c r="AS168" i="52"/>
  <c r="V155" i="52"/>
  <c r="V162" i="52" a="1"/>
  <c r="V162" i="52" s="1"/>
  <c r="A161" i="52"/>
  <c r="A162" i="52" s="1"/>
  <c r="A163" i="52" s="1"/>
  <c r="AF160" i="52" a="1"/>
  <c r="AF160" i="52" s="1"/>
  <c r="V146" i="52" a="1"/>
  <c r="V146" i="52" s="1"/>
  <c r="AF144" i="52" a="1"/>
  <c r="AF144" i="52" s="1"/>
  <c r="A145" i="52"/>
  <c r="A146" i="52" s="1"/>
  <c r="A147" i="52" s="1"/>
  <c r="A148" i="52" s="1"/>
  <c r="V138" i="52" a="1"/>
  <c r="V138" i="52" s="1"/>
  <c r="AF136" i="52" a="1"/>
  <c r="AF136" i="52" s="1"/>
  <c r="A137" i="52"/>
  <c r="A138" i="52" s="1"/>
  <c r="A139" i="52" s="1"/>
  <c r="V131" i="52"/>
  <c r="H136" i="52"/>
  <c r="AS136" i="52" s="1"/>
  <c r="AS132" i="52"/>
  <c r="V126" i="52" a="1"/>
  <c r="V126" i="52" s="1"/>
  <c r="AF124" i="52" a="1"/>
  <c r="AF124" i="52" s="1"/>
  <c r="A125" i="52"/>
  <c r="A126" i="52" s="1"/>
  <c r="A127" i="52" s="1"/>
  <c r="H124" i="52"/>
  <c r="AF108" i="52" a="1"/>
  <c r="AF108" i="52" s="1"/>
  <c r="A109" i="52"/>
  <c r="A110" i="52" s="1"/>
  <c r="A111" i="52" s="1"/>
  <c r="A112" i="52" s="1"/>
  <c r="V98" i="52" a="1"/>
  <c r="V98" i="52" s="1"/>
  <c r="AF96" i="52" a="1"/>
  <c r="AF96" i="52" s="1"/>
  <c r="A97" i="52"/>
  <c r="A98" i="52" s="1"/>
  <c r="A99" i="52" s="1"/>
  <c r="A100" i="52" s="1"/>
  <c r="V86" i="52" a="1"/>
  <c r="V86" i="52" s="1"/>
  <c r="AF84" i="52" a="1"/>
  <c r="AF84" i="52" s="1"/>
  <c r="A85" i="52"/>
  <c r="A86" i="52" s="1"/>
  <c r="A87" i="52" s="1"/>
  <c r="A88" i="52" s="1"/>
  <c r="AM68" i="52"/>
  <c r="AS68" i="52"/>
  <c r="F72" i="52"/>
  <c r="F76" i="52" s="1"/>
  <c r="A68" i="52"/>
  <c r="Q68" i="52" s="1" a="1"/>
  <c r="Q68" i="52" s="1"/>
  <c r="H60" i="52"/>
  <c r="H64" i="52" s="1"/>
  <c r="AS64" i="52" s="1"/>
  <c r="F60" i="52"/>
  <c r="F64" i="52" s="1"/>
  <c r="AM56" i="52"/>
  <c r="AS56" i="52"/>
  <c r="A56" i="52"/>
  <c r="F48" i="52"/>
  <c r="F52" i="52" s="1"/>
  <c r="AM44" i="52"/>
  <c r="H48" i="52"/>
  <c r="A44" i="52"/>
  <c r="F36" i="52"/>
  <c r="F40" i="52" s="1"/>
  <c r="AM32" i="52"/>
  <c r="AS32" i="52"/>
  <c r="A32" i="52"/>
  <c r="AM20" i="52"/>
  <c r="AS20" i="52"/>
  <c r="F24" i="52"/>
  <c r="F28" i="52" s="1"/>
  <c r="A20" i="52"/>
  <c r="AM8" i="52"/>
  <c r="AL64" i="52" s="1"/>
  <c r="AL12" i="52" l="1"/>
  <c r="AL72" i="52"/>
  <c r="AL16" i="52"/>
  <c r="AL32" i="52"/>
  <c r="AT152" i="52"/>
  <c r="AK152" i="52" s="1"/>
  <c r="O152" i="52" s="1" a="1"/>
  <c r="O152" i="52" s="1"/>
  <c r="Z152" i="52" s="1"/>
  <c r="AT164" i="52"/>
  <c r="AI165" i="52" s="1"/>
  <c r="U165" i="52" s="1"/>
  <c r="AT116" i="52"/>
  <c r="AH116" i="52" s="1"/>
  <c r="AG116" i="52" s="1"/>
  <c r="L116" i="52" s="1"/>
  <c r="AT128" i="52"/>
  <c r="AI129" i="52" s="1"/>
  <c r="U129" i="52" s="1"/>
  <c r="AL48" i="52"/>
  <c r="AL56" i="52"/>
  <c r="AL68" i="52"/>
  <c r="AL128" i="52"/>
  <c r="P128" i="52" s="1" a="1"/>
  <c r="P128" i="52" s="1"/>
  <c r="AL196" i="52"/>
  <c r="P196" i="52" s="1" a="1"/>
  <c r="P196" i="52" s="1"/>
  <c r="AL192" i="52"/>
  <c r="P192" i="52" s="1" a="1"/>
  <c r="P192" i="52" s="1"/>
  <c r="AL108" i="52"/>
  <c r="P108" i="52" s="1" a="1"/>
  <c r="P108" i="52" s="1"/>
  <c r="AL164" i="52"/>
  <c r="P164" i="52" s="1" a="1"/>
  <c r="P164" i="52" s="1"/>
  <c r="AL160" i="52"/>
  <c r="P160" i="52" s="1" a="1"/>
  <c r="P160" i="52" s="1"/>
  <c r="AL84" i="52"/>
  <c r="P84" i="52" s="1" a="1"/>
  <c r="P84" i="52" s="1"/>
  <c r="AL124" i="52"/>
  <c r="P124" i="52" s="1" a="1"/>
  <c r="P124" i="52" s="1"/>
  <c r="AL104" i="52"/>
  <c r="P104" i="52" s="1" a="1"/>
  <c r="P104" i="52" s="1"/>
  <c r="AL188" i="52"/>
  <c r="P188" i="52" s="1" a="1"/>
  <c r="P188" i="52" s="1"/>
  <c r="AL152" i="52"/>
  <c r="P152" i="52" s="1" a="1"/>
  <c r="P152" i="52" s="1"/>
  <c r="AL88" i="52"/>
  <c r="AL184" i="52"/>
  <c r="P184" i="52" s="1" a="1"/>
  <c r="P184" i="52" s="1"/>
  <c r="AL172" i="52"/>
  <c r="P172" i="52" s="1" a="1"/>
  <c r="P172" i="52" s="1"/>
  <c r="AL168" i="52"/>
  <c r="P168" i="52" s="1" a="1"/>
  <c r="P168" i="52" s="1"/>
  <c r="AL96" i="52"/>
  <c r="P96" i="52" s="1" a="1"/>
  <c r="P96" i="52" s="1"/>
  <c r="AL136" i="52"/>
  <c r="P136" i="52" s="1" a="1"/>
  <c r="P136" i="52" s="1"/>
  <c r="AL132" i="52"/>
  <c r="P132" i="52" s="1" a="1"/>
  <c r="P132" i="52" s="1"/>
  <c r="AL180" i="52"/>
  <c r="P180" i="52" s="1" a="1"/>
  <c r="P180" i="52" s="1"/>
  <c r="AL120" i="52"/>
  <c r="P120" i="52" s="1" a="1"/>
  <c r="P120" i="52" s="1"/>
  <c r="AL176" i="52"/>
  <c r="P176" i="52" s="1" a="1"/>
  <c r="P176" i="52" s="1"/>
  <c r="AL116" i="52"/>
  <c r="P116" i="52" s="1" a="1"/>
  <c r="P116" i="52" s="1"/>
  <c r="AL156" i="52"/>
  <c r="P156" i="52" s="1" a="1"/>
  <c r="P156" i="52" s="1"/>
  <c r="AL148" i="52"/>
  <c r="AL92" i="52"/>
  <c r="P92" i="52" s="1" a="1"/>
  <c r="P92" i="52" s="1"/>
  <c r="AL112" i="52"/>
  <c r="AL100" i="52"/>
  <c r="AL144" i="52"/>
  <c r="P144" i="52" s="1" a="1"/>
  <c r="P144" i="52" s="1"/>
  <c r="AL140" i="52"/>
  <c r="P140" i="52" s="1" a="1"/>
  <c r="P140" i="52" s="1"/>
  <c r="AL80" i="52"/>
  <c r="P80" i="52" s="1" a="1"/>
  <c r="P80" i="52" s="1"/>
  <c r="AT176" i="52"/>
  <c r="AK176" i="52" s="1"/>
  <c r="O176" i="52" s="1" a="1"/>
  <c r="O176" i="52" s="1"/>
  <c r="Z176" i="52" s="1"/>
  <c r="AL28" i="52"/>
  <c r="AT188" i="52"/>
  <c r="AK188" i="52" s="1"/>
  <c r="O188" i="52" s="1" a="1"/>
  <c r="O188" i="52" s="1"/>
  <c r="Z188" i="52" s="1"/>
  <c r="V195" i="52"/>
  <c r="AT192" i="52"/>
  <c r="V183" i="52"/>
  <c r="AT180" i="52"/>
  <c r="V171" i="52"/>
  <c r="AT168" i="52"/>
  <c r="AK164" i="52"/>
  <c r="O164" i="52" s="1" a="1"/>
  <c r="O164" i="52" s="1"/>
  <c r="Z164" i="52" s="1"/>
  <c r="AJ164" i="52"/>
  <c r="N164" i="52" s="1" a="1"/>
  <c r="N164" i="52" s="1"/>
  <c r="Y164" i="52" s="1"/>
  <c r="AH164" i="52"/>
  <c r="AG164" i="52" s="1"/>
  <c r="L164" i="52" s="1"/>
  <c r="V159" i="52"/>
  <c r="AT156" i="52"/>
  <c r="AH152" i="52"/>
  <c r="AG152" i="52" s="1"/>
  <c r="L152" i="52" s="1"/>
  <c r="V150" i="52" a="1"/>
  <c r="V150" i="52" s="1"/>
  <c r="AF148" i="52" a="1"/>
  <c r="AF148" i="52" s="1"/>
  <c r="A149" i="52"/>
  <c r="A150" i="52" s="1"/>
  <c r="A151" i="52" s="1"/>
  <c r="P148" i="52" a="1"/>
  <c r="P148" i="52" s="1"/>
  <c r="V135" i="52"/>
  <c r="AT132" i="52"/>
  <c r="AT120" i="52"/>
  <c r="AK116" i="52"/>
  <c r="O116" i="52" s="1" a="1"/>
  <c r="O116" i="52" s="1"/>
  <c r="Z116" i="52" s="1"/>
  <c r="AJ116" i="52"/>
  <c r="AA116" i="52"/>
  <c r="AI117" i="52"/>
  <c r="U117" i="52" s="1"/>
  <c r="AT104" i="52"/>
  <c r="V107" i="52"/>
  <c r="AF112" i="52" a="1"/>
  <c r="AF112" i="52" s="1"/>
  <c r="A113" i="52"/>
  <c r="A114" i="52" s="1"/>
  <c r="A115" i="52" s="1"/>
  <c r="P112" i="52" a="1"/>
  <c r="P112" i="52" s="1"/>
  <c r="V95" i="52"/>
  <c r="AT92" i="52"/>
  <c r="V102" i="52" a="1"/>
  <c r="V102" i="52" s="1"/>
  <c r="AF100" i="52" a="1"/>
  <c r="AF100" i="52" s="1"/>
  <c r="A101" i="52"/>
  <c r="A102" i="52" s="1"/>
  <c r="A103" i="52" s="1"/>
  <c r="P100" i="52" a="1"/>
  <c r="P100" i="52" s="1"/>
  <c r="V83" i="52"/>
  <c r="AT80" i="52"/>
  <c r="V90" i="52" a="1"/>
  <c r="V90" i="52" s="1"/>
  <c r="AF88" i="52" a="1"/>
  <c r="AF88" i="52" s="1"/>
  <c r="P88" i="52" a="1"/>
  <c r="P88" i="52" s="1"/>
  <c r="A89" i="52"/>
  <c r="A90" i="52" s="1"/>
  <c r="A91" i="52" s="1"/>
  <c r="AS60" i="52"/>
  <c r="H52" i="52"/>
  <c r="AS52" i="52" s="1"/>
  <c r="AS48" i="52"/>
  <c r="H24" i="52"/>
  <c r="H36" i="52"/>
  <c r="AL40" i="52"/>
  <c r="AL24" i="52"/>
  <c r="H72" i="52"/>
  <c r="AL76" i="52"/>
  <c r="AL44" i="52"/>
  <c r="AL60" i="52"/>
  <c r="AL8" i="52"/>
  <c r="AS44" i="52"/>
  <c r="AL52" i="52"/>
  <c r="AL36" i="52"/>
  <c r="AL20" i="52"/>
  <c r="P68" i="52" a="1"/>
  <c r="P68" i="52" s="1"/>
  <c r="S68" i="52" a="1"/>
  <c r="S68" i="52" s="1"/>
  <c r="A69" i="52"/>
  <c r="A70" i="52" s="1"/>
  <c r="A71" i="52" s="1"/>
  <c r="A72" i="52" s="1"/>
  <c r="M68" i="52" a="1"/>
  <c r="M68" i="52" s="1"/>
  <c r="V70" i="52" a="1"/>
  <c r="V70" i="52" s="1"/>
  <c r="AF68" i="52" a="1"/>
  <c r="AF68" i="52" s="1"/>
  <c r="M56" i="52" a="1"/>
  <c r="M56" i="52" s="1"/>
  <c r="AF56" i="52" a="1"/>
  <c r="AF56" i="52" s="1"/>
  <c r="Q56" i="52" a="1"/>
  <c r="Q56" i="52" s="1"/>
  <c r="A57" i="52"/>
  <c r="A58" i="52" s="1"/>
  <c r="A59" i="52" s="1"/>
  <c r="A60" i="52" s="1"/>
  <c r="S56" i="52" a="1"/>
  <c r="S56" i="52" s="1"/>
  <c r="P56" i="52" a="1"/>
  <c r="P56" i="52" s="1"/>
  <c r="S44" i="52" a="1"/>
  <c r="S44" i="52" s="1"/>
  <c r="V46" i="52" a="1"/>
  <c r="V46" i="52" s="1"/>
  <c r="M44" i="52" a="1"/>
  <c r="M44" i="52" s="1"/>
  <c r="P44" i="52" a="1"/>
  <c r="P44" i="52" s="1"/>
  <c r="AF44" i="52" a="1"/>
  <c r="AF44" i="52" s="1"/>
  <c r="A45" i="52"/>
  <c r="A46" i="52" s="1"/>
  <c r="A47" i="52" s="1"/>
  <c r="A48" i="52" s="1"/>
  <c r="Q44" i="52" a="1"/>
  <c r="Q44" i="52" s="1"/>
  <c r="A33" i="52"/>
  <c r="A34" i="52" s="1"/>
  <c r="A35" i="52" s="1"/>
  <c r="A36" i="52" s="1"/>
  <c r="Q32" i="52" a="1"/>
  <c r="Q32" i="52" s="1"/>
  <c r="V34" i="52" a="1"/>
  <c r="V34" i="52" s="1"/>
  <c r="P32" i="52" a="1"/>
  <c r="P32" i="52" s="1"/>
  <c r="M32" i="52" a="1"/>
  <c r="M32" i="52" s="1"/>
  <c r="AF32" i="52" a="1"/>
  <c r="AF32" i="52" s="1"/>
  <c r="S32" i="52" a="1"/>
  <c r="S32" i="52" s="1"/>
  <c r="V22" i="52" a="1"/>
  <c r="V22" i="52" s="1"/>
  <c r="AF20" i="52" a="1"/>
  <c r="AF20" i="52" s="1"/>
  <c r="Q20" i="52" a="1"/>
  <c r="Q20" i="52" s="1"/>
  <c r="M20" i="52" a="1"/>
  <c r="M20" i="52" s="1"/>
  <c r="S20" i="52" a="1"/>
  <c r="S20" i="52" s="1"/>
  <c r="A21" i="52"/>
  <c r="A22" i="52" s="1"/>
  <c r="A23" i="52" s="1"/>
  <c r="P20" i="52" a="1"/>
  <c r="P20" i="52" s="1"/>
  <c r="A24" i="52"/>
  <c r="A14" i="51"/>
  <c r="A15" i="51" s="1"/>
  <c r="A16" i="51" s="1"/>
  <c r="A17" i="51" s="1"/>
  <c r="A18" i="51"/>
  <c r="A19" i="51"/>
  <c r="A20" i="51"/>
  <c r="A21" i="51"/>
  <c r="A22" i="51" s="1"/>
  <c r="A23" i="51" s="1"/>
  <c r="A24" i="51"/>
  <c r="A25" i="51"/>
  <c r="A26" i="51"/>
  <c r="A27" i="51" s="1"/>
  <c r="A28" i="51" s="1"/>
  <c r="A29" i="51" s="1"/>
  <c r="A30" i="51"/>
  <c r="A31" i="51" s="1"/>
  <c r="A32" i="51" s="1"/>
  <c r="A33" i="51" s="1"/>
  <c r="A34" i="51" s="1"/>
  <c r="A35" i="51" s="1"/>
  <c r="A36" i="51"/>
  <c r="A37" i="51"/>
  <c r="A38" i="51" s="1"/>
  <c r="A39" i="51" s="1"/>
  <c r="A40" i="51" s="1"/>
  <c r="A41" i="51" s="1"/>
  <c r="A42" i="51"/>
  <c r="A43" i="51" s="1"/>
  <c r="A44" i="51" s="1"/>
  <c r="A45" i="51" s="1"/>
  <c r="A46" i="51" s="1"/>
  <c r="A47" i="51" s="1"/>
  <c r="A48" i="51"/>
  <c r="A49" i="51"/>
  <c r="A50" i="51" s="1"/>
  <c r="A51" i="51" s="1"/>
  <c r="A52" i="51" s="1"/>
  <c r="A53" i="51" s="1"/>
  <c r="A54" i="51"/>
  <c r="A55" i="51" s="1"/>
  <c r="A56" i="51" s="1"/>
  <c r="A57" i="51" s="1"/>
  <c r="A58" i="51" s="1"/>
  <c r="A59" i="51" s="1"/>
  <c r="A60" i="51"/>
  <c r="A61" i="51"/>
  <c r="A62" i="51" s="1"/>
  <c r="A63" i="51"/>
  <c r="A64" i="51" s="1"/>
  <c r="A65" i="51" s="1"/>
  <c r="A66" i="51"/>
  <c r="A67" i="51" s="1"/>
  <c r="A68" i="51" s="1"/>
  <c r="A69" i="51"/>
  <c r="A70" i="51" s="1"/>
  <c r="A71" i="51" s="1"/>
  <c r="A72" i="51"/>
  <c r="A73" i="51" s="1"/>
  <c r="A74" i="51" s="1"/>
  <c r="A75" i="51"/>
  <c r="A76" i="51"/>
  <c r="A77" i="51"/>
  <c r="A78" i="51"/>
  <c r="A79" i="51"/>
  <c r="A80" i="51" s="1"/>
  <c r="A81" i="51"/>
  <c r="A82" i="51"/>
  <c r="A83" i="51" s="1"/>
  <c r="A84" i="51"/>
  <c r="A85" i="51"/>
  <c r="A86" i="51"/>
  <c r="A87" i="51"/>
  <c r="A88" i="51"/>
  <c r="A89" i="51"/>
  <c r="A90" i="51"/>
  <c r="A91" i="51"/>
  <c r="A92" i="51" s="1"/>
  <c r="A93" i="51"/>
  <c r="A94" i="51"/>
  <c r="A95" i="51" s="1"/>
  <c r="A96" i="51"/>
  <c r="A97" i="51"/>
  <c r="A98" i="51" s="1"/>
  <c r="A99" i="51"/>
  <c r="A100" i="51" s="1"/>
  <c r="A101" i="51" s="1"/>
  <c r="A102" i="51"/>
  <c r="A103" i="51"/>
  <c r="A104" i="51"/>
  <c r="A105" i="51"/>
  <c r="A106" i="51" s="1"/>
  <c r="A107" i="51" s="1"/>
  <c r="A108" i="51"/>
  <c r="A109" i="51"/>
  <c r="A110" i="51"/>
  <c r="A111" i="51"/>
  <c r="A112" i="51"/>
  <c r="A113" i="51"/>
  <c r="A114" i="51"/>
  <c r="A115" i="51" s="1"/>
  <c r="A116" i="51" s="1"/>
  <c r="A117" i="51"/>
  <c r="A118" i="51" s="1"/>
  <c r="A119" i="51" s="1"/>
  <c r="A120" i="51"/>
  <c r="A121" i="51"/>
  <c r="A122" i="51"/>
  <c r="A123" i="51"/>
  <c r="A124" i="51"/>
  <c r="A125" i="51"/>
  <c r="A126" i="51"/>
  <c r="A127" i="51" s="1"/>
  <c r="A128" i="51" s="1"/>
  <c r="A129" i="51"/>
  <c r="A130" i="51"/>
  <c r="A131" i="51"/>
  <c r="A132" i="51"/>
  <c r="A133" i="51"/>
  <c r="A134" i="51" s="1"/>
  <c r="A135" i="51"/>
  <c r="A136" i="51" s="1"/>
  <c r="A137" i="51" s="1"/>
  <c r="A138" i="51"/>
  <c r="A139" i="51" s="1"/>
  <c r="A140" i="51" s="1"/>
  <c r="A141" i="51"/>
  <c r="A142" i="51"/>
  <c r="A143" i="51" s="1"/>
  <c r="A144" i="51"/>
  <c r="A145" i="51"/>
  <c r="A146" i="51" s="1"/>
  <c r="A147" i="51"/>
  <c r="A148" i="51" s="1"/>
  <c r="A149" i="51" s="1"/>
  <c r="A150" i="51"/>
  <c r="A151" i="51" s="1"/>
  <c r="A152" i="51" s="1"/>
  <c r="A153" i="51"/>
  <c r="A154" i="51" s="1"/>
  <c r="A155" i="51" s="1"/>
  <c r="A156" i="51"/>
  <c r="A157" i="51" s="1"/>
  <c r="A158" i="51" s="1"/>
  <c r="A159" i="51"/>
  <c r="A160" i="51"/>
  <c r="A161" i="51"/>
  <c r="A162" i="51"/>
  <c r="A163" i="51"/>
  <c r="A164" i="51" s="1"/>
  <c r="A165" i="51"/>
  <c r="A166" i="51"/>
  <c r="A167" i="51" s="1"/>
  <c r="A168" i="51"/>
  <c r="A169" i="51"/>
  <c r="A170" i="51"/>
  <c r="A171" i="51"/>
  <c r="A172" i="51"/>
  <c r="A173" i="51"/>
  <c r="A174" i="51"/>
  <c r="A175" i="51"/>
  <c r="A176" i="51" s="1"/>
  <c r="A177" i="51"/>
  <c r="A178" i="51"/>
  <c r="A179" i="51" s="1"/>
  <c r="A180" i="51"/>
  <c r="A181" i="51"/>
  <c r="A182" i="51" s="1"/>
  <c r="A12" i="51"/>
  <c r="A13" i="51"/>
  <c r="A7" i="51"/>
  <c r="A8" i="51"/>
  <c r="A9" i="51"/>
  <c r="A10" i="51"/>
  <c r="A11" i="51"/>
  <c r="A6" i="51"/>
  <c r="F12" i="52"/>
  <c r="F16" i="52" s="1"/>
  <c r="H8" i="52"/>
  <c r="AA152" i="52" l="1"/>
  <c r="AI153" i="52"/>
  <c r="U153" i="52" s="1"/>
  <c r="N116" i="52" a="1"/>
  <c r="N116" i="52" s="1"/>
  <c r="Y116" i="52" s="1"/>
  <c r="AC116" i="52" s="1"/>
  <c r="AJ128" i="52"/>
  <c r="N128" i="52" s="1" a="1"/>
  <c r="N128" i="52" s="1"/>
  <c r="Y128" i="52" s="1"/>
  <c r="AC128" i="52" s="1"/>
  <c r="AK128" i="52"/>
  <c r="O128" i="52" s="1" a="1"/>
  <c r="O128" i="52" s="1"/>
  <c r="Z128" i="52" s="1"/>
  <c r="AH128" i="52"/>
  <c r="AG128" i="52" s="1"/>
  <c r="L128" i="52" s="1"/>
  <c r="AA128" i="52" s="1"/>
  <c r="AA164" i="52"/>
  <c r="AC164" i="52" s="1"/>
  <c r="AJ152" i="52"/>
  <c r="N152" i="52" s="1" a="1"/>
  <c r="N152" i="52" s="1"/>
  <c r="Y152" i="52" s="1"/>
  <c r="AC152" i="52" s="1"/>
  <c r="AI177" i="52"/>
  <c r="U177" i="52" s="1"/>
  <c r="AH176" i="52"/>
  <c r="AG176" i="52" s="1"/>
  <c r="L176" i="52" s="1"/>
  <c r="AA176" i="52" s="1"/>
  <c r="AJ176" i="52"/>
  <c r="N176" i="52" s="1" a="1"/>
  <c r="N176" i="52" s="1"/>
  <c r="Y176" i="52" s="1"/>
  <c r="AC176" i="52" s="1"/>
  <c r="AI189" i="52"/>
  <c r="U189" i="52" s="1"/>
  <c r="AH188" i="52"/>
  <c r="AG188" i="52" s="1"/>
  <c r="L188" i="52" s="1"/>
  <c r="AA188" i="52" s="1"/>
  <c r="AJ188" i="52"/>
  <c r="N188" i="52" s="1" a="1"/>
  <c r="N188" i="52" s="1"/>
  <c r="Y188" i="52" s="1"/>
  <c r="AC188" i="52" s="1"/>
  <c r="V199" i="52"/>
  <c r="AT196" i="52"/>
  <c r="AI193" i="52"/>
  <c r="U193" i="52" s="1"/>
  <c r="AJ192" i="52"/>
  <c r="N192" i="52" s="1" a="1"/>
  <c r="N192" i="52" s="1"/>
  <c r="Y192" i="52" s="1"/>
  <c r="AC192" i="52" s="1"/>
  <c r="AK192" i="52"/>
  <c r="O192" i="52" s="1" a="1"/>
  <c r="O192" i="52" s="1"/>
  <c r="Z192" i="52" s="1"/>
  <c r="AH192" i="52"/>
  <c r="AG192" i="52" s="1"/>
  <c r="L192" i="52" s="1"/>
  <c r="AA192" i="52" s="1"/>
  <c r="AI181" i="52"/>
  <c r="U181" i="52" s="1"/>
  <c r="AK180" i="52"/>
  <c r="O180" i="52" s="1" a="1"/>
  <c r="O180" i="52" s="1"/>
  <c r="Z180" i="52" s="1"/>
  <c r="AJ180" i="52"/>
  <c r="N180" i="52" s="1" a="1"/>
  <c r="N180" i="52" s="1"/>
  <c r="Y180" i="52" s="1"/>
  <c r="AC180" i="52" s="1"/>
  <c r="AH180" i="52"/>
  <c r="AG180" i="52" s="1"/>
  <c r="L180" i="52" s="1"/>
  <c r="AA180" i="52" s="1"/>
  <c r="V187" i="52"/>
  <c r="AT184" i="52"/>
  <c r="V175" i="52"/>
  <c r="AT172" i="52"/>
  <c r="AJ168" i="52"/>
  <c r="N168" i="52" s="1" a="1"/>
  <c r="N168" i="52" s="1"/>
  <c r="Y168" i="52" s="1"/>
  <c r="AI169" i="52"/>
  <c r="U169" i="52" s="1"/>
  <c r="AK168" i="52"/>
  <c r="O168" i="52" s="1" a="1"/>
  <c r="O168" i="52" s="1"/>
  <c r="Z168" i="52" s="1"/>
  <c r="AH168" i="52"/>
  <c r="AG168" i="52" s="1"/>
  <c r="L168" i="52" s="1"/>
  <c r="AA168" i="52" s="1"/>
  <c r="V163" i="52"/>
  <c r="AT160" i="52"/>
  <c r="AI157" i="52"/>
  <c r="U157" i="52" s="1"/>
  <c r="AK156" i="52"/>
  <c r="O156" i="52" s="1" a="1"/>
  <c r="O156" i="52" s="1"/>
  <c r="Z156" i="52" s="1"/>
  <c r="AJ156" i="52"/>
  <c r="N156" i="52" s="1" a="1"/>
  <c r="N156" i="52" s="1"/>
  <c r="Y156" i="52" s="1"/>
  <c r="AH156" i="52"/>
  <c r="AG156" i="52" s="1"/>
  <c r="L156" i="52" s="1"/>
  <c r="AA156" i="52" s="1"/>
  <c r="AT144" i="52"/>
  <c r="AK140" i="52"/>
  <c r="O140" i="52" s="1" a="1"/>
  <c r="O140" i="52" s="1"/>
  <c r="Z140" i="52" s="1"/>
  <c r="AI141" i="52"/>
  <c r="U141" i="52" s="1"/>
  <c r="Y140" i="52"/>
  <c r="AH140" i="52"/>
  <c r="AG140" i="52" s="1"/>
  <c r="V139" i="52"/>
  <c r="AT136" i="52"/>
  <c r="AH132" i="52"/>
  <c r="AG132" i="52" s="1"/>
  <c r="L132" i="52" s="1"/>
  <c r="AA132" i="52" s="1"/>
  <c r="AI133" i="52"/>
  <c r="U133" i="52" s="1"/>
  <c r="AK132" i="52"/>
  <c r="O132" i="52" s="1" a="1"/>
  <c r="O132" i="52" s="1"/>
  <c r="Z132" i="52" s="1"/>
  <c r="AJ132" i="52"/>
  <c r="N132" i="52" s="1" a="1"/>
  <c r="N132" i="52" s="1"/>
  <c r="Y132" i="52" s="1"/>
  <c r="AC132" i="52" s="1"/>
  <c r="V127" i="52"/>
  <c r="AT124" i="52"/>
  <c r="AI121" i="52"/>
  <c r="U121" i="52" s="1"/>
  <c r="AJ120" i="52"/>
  <c r="N120" i="52" s="1" a="1"/>
  <c r="N120" i="52" s="1"/>
  <c r="Y120" i="52" s="1"/>
  <c r="AC120" i="52" s="1"/>
  <c r="AH120" i="52"/>
  <c r="AG120" i="52" s="1"/>
  <c r="L120" i="52" s="1"/>
  <c r="AA120" i="52" s="1"/>
  <c r="AK120" i="52"/>
  <c r="O120" i="52" s="1" a="1"/>
  <c r="O120" i="52" s="1"/>
  <c r="Z120" i="52" s="1"/>
  <c r="AT108" i="52"/>
  <c r="V111" i="52"/>
  <c r="AK104" i="52"/>
  <c r="O104" i="52" s="1" a="1"/>
  <c r="O104" i="52" s="1"/>
  <c r="Z104" i="52" s="1"/>
  <c r="AI105" i="52"/>
  <c r="U105" i="52" s="1"/>
  <c r="AJ104" i="52"/>
  <c r="N104" i="52" s="1" a="1"/>
  <c r="N104" i="52" s="1"/>
  <c r="Y104" i="52" s="1"/>
  <c r="AH104" i="52"/>
  <c r="AG104" i="52" s="1"/>
  <c r="L104" i="52" s="1"/>
  <c r="AA104" i="52" s="1"/>
  <c r="AK92" i="52"/>
  <c r="O92" i="52" s="1" a="1"/>
  <c r="O92" i="52" s="1"/>
  <c r="Z92" i="52" s="1"/>
  <c r="AJ92" i="52"/>
  <c r="N92" i="52" s="1" a="1"/>
  <c r="N92" i="52" s="1"/>
  <c r="Y92" i="52" s="1"/>
  <c r="AH92" i="52"/>
  <c r="AG92" i="52" s="1"/>
  <c r="L92" i="52" s="1"/>
  <c r="AA92" i="52" s="1"/>
  <c r="AI93" i="52"/>
  <c r="U93" i="52" s="1"/>
  <c r="V99" i="52"/>
  <c r="AT96" i="52"/>
  <c r="V87" i="52"/>
  <c r="AT84" i="52"/>
  <c r="AK80" i="52"/>
  <c r="O80" i="52" s="1" a="1"/>
  <c r="O80" i="52" s="1"/>
  <c r="Z80" i="52" s="1"/>
  <c r="AJ80" i="52"/>
  <c r="N80" i="52" s="1" a="1"/>
  <c r="N80" i="52" s="1"/>
  <c r="Y80" i="52" s="1"/>
  <c r="AC80" i="52" s="1"/>
  <c r="AH80" i="52"/>
  <c r="AG80" i="52" s="1"/>
  <c r="L80" i="52" s="1"/>
  <c r="AA80" i="52" s="1"/>
  <c r="AI81" i="52"/>
  <c r="U81" i="52" s="1"/>
  <c r="H76" i="52"/>
  <c r="AS76" i="52" s="1"/>
  <c r="AS72" i="52"/>
  <c r="H40" i="52"/>
  <c r="AS40" i="52" s="1"/>
  <c r="AS36" i="52"/>
  <c r="H28" i="52"/>
  <c r="AS28" i="52" s="1"/>
  <c r="AS24" i="52"/>
  <c r="AF60" i="52" a="1"/>
  <c r="AF60" i="52" s="1"/>
  <c r="A61" i="52"/>
  <c r="A62" i="52" s="1"/>
  <c r="A63" i="52" s="1"/>
  <c r="A64" i="52" s="1"/>
  <c r="P60" i="52" a="1"/>
  <c r="P60" i="52" s="1"/>
  <c r="P72" i="52" a="1"/>
  <c r="P72" i="52" s="1"/>
  <c r="A73" i="52"/>
  <c r="A74" i="52" s="1"/>
  <c r="A75" i="52" s="1"/>
  <c r="A76" i="52" s="1"/>
  <c r="V74" i="52" a="1"/>
  <c r="V74" i="52" s="1"/>
  <c r="AF72" i="52" a="1"/>
  <c r="AF72" i="52" s="1"/>
  <c r="AF48" i="52" a="1"/>
  <c r="AF48" i="52" s="1"/>
  <c r="P48" i="52" a="1"/>
  <c r="P48" i="52" s="1"/>
  <c r="V50" i="52" a="1"/>
  <c r="V50" i="52" s="1"/>
  <c r="A49" i="52"/>
  <c r="A50" i="52" s="1"/>
  <c r="A51" i="52" s="1"/>
  <c r="A52" i="52" s="1"/>
  <c r="V38" i="52" a="1"/>
  <c r="V38" i="52" s="1"/>
  <c r="P36" i="52" a="1"/>
  <c r="P36" i="52" s="1"/>
  <c r="A37" i="52"/>
  <c r="A38" i="52" s="1"/>
  <c r="A39" i="52" s="1"/>
  <c r="A40" i="52" s="1"/>
  <c r="AF36" i="52" a="1"/>
  <c r="AF36" i="52" s="1"/>
  <c r="P24" i="52" a="1"/>
  <c r="P24" i="52" s="1"/>
  <c r="AF24" i="52" a="1"/>
  <c r="AF24" i="52" s="1"/>
  <c r="V26" i="52" a="1"/>
  <c r="V26" i="52" s="1"/>
  <c r="A25" i="52"/>
  <c r="A26" i="52" s="1"/>
  <c r="A27" i="52" s="1"/>
  <c r="A28" i="52" s="1"/>
  <c r="A8" i="52"/>
  <c r="AF8" i="52" s="1" a="1"/>
  <c r="AF8" i="52" s="1"/>
  <c r="H12" i="52"/>
  <c r="A9" i="52"/>
  <c r="A10" i="52" s="1"/>
  <c r="A11" i="52" s="1"/>
  <c r="V10" i="52" a="1"/>
  <c r="V10" i="52" s="1"/>
  <c r="Q8" i="52" a="1"/>
  <c r="Q8" i="52" s="1"/>
  <c r="M8" i="52" a="1"/>
  <c r="M8" i="52" s="1"/>
  <c r="AC156" i="52" l="1"/>
  <c r="AC92" i="52"/>
  <c r="AC104" i="52"/>
  <c r="AC168" i="52"/>
  <c r="AA140" i="52"/>
  <c r="P8" i="52" a="1"/>
  <c r="P8" i="52" s="1"/>
  <c r="S8" i="52" a="1"/>
  <c r="S8" i="52" s="1"/>
  <c r="AK196" i="52"/>
  <c r="O196" i="52" s="1" a="1"/>
  <c r="O196" i="52" s="1"/>
  <c r="Z196" i="52" s="1"/>
  <c r="AI197" i="52"/>
  <c r="U197" i="52" s="1"/>
  <c r="AJ196" i="52"/>
  <c r="N196" i="52" s="1" a="1"/>
  <c r="N196" i="52" s="1"/>
  <c r="Y196" i="52" s="1"/>
  <c r="AH196" i="52"/>
  <c r="AG196" i="52" s="1"/>
  <c r="L196" i="52" s="1"/>
  <c r="AA196" i="52" s="1"/>
  <c r="AI185" i="52"/>
  <c r="U185" i="52" s="1"/>
  <c r="AK184" i="52"/>
  <c r="O184" i="52" s="1" a="1"/>
  <c r="O184" i="52" s="1"/>
  <c r="Z184" i="52" s="1"/>
  <c r="AJ184" i="52"/>
  <c r="N184" i="52" s="1" a="1"/>
  <c r="N184" i="52" s="1"/>
  <c r="Y184" i="52" s="1"/>
  <c r="AC184" i="52" s="1"/>
  <c r="AH184" i="52"/>
  <c r="AG184" i="52" s="1"/>
  <c r="L184" i="52" s="1"/>
  <c r="AA184" i="52" s="1"/>
  <c r="AI173" i="52"/>
  <c r="U173" i="52" s="1"/>
  <c r="AK172" i="52"/>
  <c r="O172" i="52" s="1" a="1"/>
  <c r="O172" i="52" s="1"/>
  <c r="Z172" i="52" s="1"/>
  <c r="AJ172" i="52"/>
  <c r="N172" i="52" s="1" a="1"/>
  <c r="N172" i="52" s="1"/>
  <c r="Y172" i="52" s="1"/>
  <c r="AC172" i="52" s="1"/>
  <c r="AH172" i="52"/>
  <c r="AG172" i="52" s="1"/>
  <c r="L172" i="52" s="1"/>
  <c r="AA172" i="52" s="1"/>
  <c r="AI161" i="52"/>
  <c r="U161" i="52" s="1"/>
  <c r="AJ160" i="52"/>
  <c r="N160" i="52" s="1" a="1"/>
  <c r="N160" i="52" s="1"/>
  <c r="Y160" i="52" s="1"/>
  <c r="AH160" i="52"/>
  <c r="AG160" i="52" s="1"/>
  <c r="L160" i="52" s="1"/>
  <c r="AA160" i="52" s="1"/>
  <c r="AK160" i="52"/>
  <c r="O160" i="52" s="1" a="1"/>
  <c r="O160" i="52" s="1"/>
  <c r="Z160" i="52" s="1"/>
  <c r="AT148" i="52"/>
  <c r="AK144" i="52"/>
  <c r="O144" i="52" s="1" a="1"/>
  <c r="O144" i="52" s="1"/>
  <c r="Z144" i="52" s="1"/>
  <c r="AH144" i="52"/>
  <c r="AG144" i="52" s="1"/>
  <c r="L144" i="52" s="1"/>
  <c r="AA144" i="52" s="1"/>
  <c r="AI145" i="52"/>
  <c r="U145" i="52" s="1"/>
  <c r="AJ144" i="52"/>
  <c r="N144" i="52" s="1" a="1"/>
  <c r="N144" i="52" s="1"/>
  <c r="Y144" i="52" s="1"/>
  <c r="AI137" i="52"/>
  <c r="U137" i="52" s="1"/>
  <c r="AK136" i="52"/>
  <c r="O136" i="52" s="1" a="1"/>
  <c r="O136" i="52" s="1"/>
  <c r="Z136" i="52" s="1"/>
  <c r="AJ136" i="52"/>
  <c r="N136" i="52" s="1" a="1"/>
  <c r="N136" i="52" s="1"/>
  <c r="Y136" i="52" s="1"/>
  <c r="AH136" i="52"/>
  <c r="AG136" i="52" s="1"/>
  <c r="L136" i="52" s="1"/>
  <c r="AI125" i="52"/>
  <c r="U125" i="52" s="1"/>
  <c r="AH124" i="52"/>
  <c r="AG124" i="52" s="1"/>
  <c r="L124" i="52" s="1"/>
  <c r="AA124" i="52" s="1"/>
  <c r="AK124" i="52"/>
  <c r="O124" i="52" s="1" a="1"/>
  <c r="O124" i="52" s="1"/>
  <c r="Z124" i="52" s="1"/>
  <c r="AJ124" i="52"/>
  <c r="N124" i="52" s="1" a="1"/>
  <c r="N124" i="52" s="1"/>
  <c r="Y124" i="52" s="1"/>
  <c r="AC124" i="52" s="1"/>
  <c r="V115" i="52"/>
  <c r="AT112" i="52"/>
  <c r="AH108" i="52"/>
  <c r="AG108" i="52" s="1"/>
  <c r="L108" i="52" s="1"/>
  <c r="AA108" i="52" s="1"/>
  <c r="AJ108" i="52"/>
  <c r="N108" i="52" s="1" a="1"/>
  <c r="N108" i="52" s="1"/>
  <c r="Y108" i="52" s="1"/>
  <c r="AK108" i="52"/>
  <c r="O108" i="52" s="1" a="1"/>
  <c r="O108" i="52" s="1"/>
  <c r="Z108" i="52" s="1"/>
  <c r="AI109" i="52"/>
  <c r="U109" i="52" s="1"/>
  <c r="AI97" i="52"/>
  <c r="U97" i="52" s="1"/>
  <c r="AJ96" i="52"/>
  <c r="N96" i="52" s="1" a="1"/>
  <c r="N96" i="52" s="1"/>
  <c r="Y96" i="52" s="1"/>
  <c r="AK96" i="52"/>
  <c r="O96" i="52" s="1" a="1"/>
  <c r="O96" i="52" s="1"/>
  <c r="Z96" i="52" s="1"/>
  <c r="AH96" i="52"/>
  <c r="AG96" i="52" s="1"/>
  <c r="L96" i="52" s="1"/>
  <c r="AA96" i="52" s="1"/>
  <c r="V103" i="52"/>
  <c r="AT100" i="52"/>
  <c r="V91" i="52"/>
  <c r="AT88" i="52"/>
  <c r="AJ84" i="52"/>
  <c r="N84" i="52" s="1" a="1"/>
  <c r="N84" i="52" s="1"/>
  <c r="Y84" i="52" s="1"/>
  <c r="AI85" i="52"/>
  <c r="U85" i="52" s="1"/>
  <c r="AK84" i="52"/>
  <c r="O84" i="52" s="1" a="1"/>
  <c r="O84" i="52" s="1"/>
  <c r="Z84" i="52" s="1"/>
  <c r="AH84" i="52"/>
  <c r="AG84" i="52" s="1"/>
  <c r="L84" i="52" s="1"/>
  <c r="AA84" i="52" s="1"/>
  <c r="AF64" i="52" a="1"/>
  <c r="AF64" i="52" s="1"/>
  <c r="V67" i="52" s="1"/>
  <c r="A65" i="52"/>
  <c r="A66" i="52" s="1"/>
  <c r="A67" i="52" s="1"/>
  <c r="P64" i="52" a="1"/>
  <c r="P64" i="52" s="1"/>
  <c r="A77" i="52"/>
  <c r="A78" i="52" s="1"/>
  <c r="A79" i="52" s="1"/>
  <c r="V78" i="52" a="1"/>
  <c r="V78" i="52" s="1"/>
  <c r="AF76" i="52" a="1"/>
  <c r="AF76" i="52" s="1"/>
  <c r="AT76" i="52" s="1"/>
  <c r="P76" i="52" a="1"/>
  <c r="P76" i="52" s="1"/>
  <c r="V54" i="52" a="1"/>
  <c r="V54" i="52" s="1"/>
  <c r="AF52" i="52" a="1"/>
  <c r="AF52" i="52" s="1"/>
  <c r="V55" i="52" s="1"/>
  <c r="A53" i="52"/>
  <c r="A54" i="52" s="1"/>
  <c r="A55" i="52" s="1"/>
  <c r="P52" i="52" a="1"/>
  <c r="P52" i="52" s="1"/>
  <c r="A41" i="52"/>
  <c r="A42" i="52" s="1"/>
  <c r="A43" i="52" s="1"/>
  <c r="P40" i="52" a="1"/>
  <c r="P40" i="52" s="1"/>
  <c r="AF40" i="52" a="1"/>
  <c r="AF40" i="52" s="1"/>
  <c r="V43" i="52" s="1"/>
  <c r="V42" i="52" a="1"/>
  <c r="V42" i="52" s="1"/>
  <c r="AF28" i="52" a="1"/>
  <c r="AF28" i="52" s="1"/>
  <c r="V31" i="52" s="1"/>
  <c r="P28" i="52" a="1"/>
  <c r="P28" i="52" s="1"/>
  <c r="V30" i="52" a="1"/>
  <c r="V30" i="52" s="1"/>
  <c r="A29" i="52"/>
  <c r="A30" i="52" s="1"/>
  <c r="A31" i="52" s="1"/>
  <c r="V71" i="52"/>
  <c r="AT68" i="52"/>
  <c r="V59" i="52"/>
  <c r="AT56" i="52"/>
  <c r="AT60" i="52"/>
  <c r="V63" i="52"/>
  <c r="V47" i="52"/>
  <c r="AT44" i="52"/>
  <c r="V35" i="52"/>
  <c r="AT32" i="52"/>
  <c r="V23" i="52"/>
  <c r="AT20" i="52"/>
  <c r="H16" i="52"/>
  <c r="A12" i="52"/>
  <c r="AF12" i="52" s="1" a="1"/>
  <c r="AF12" i="52" s="1"/>
  <c r="AT8" i="52"/>
  <c r="AC196" i="52" l="1"/>
  <c r="AC160" i="52"/>
  <c r="AC144" i="52"/>
  <c r="I19" i="53" s="1"/>
  <c r="J19" i="53" s="1"/>
  <c r="AC84" i="52"/>
  <c r="AC96" i="52"/>
  <c r="AC108" i="52"/>
  <c r="AA136" i="52"/>
  <c r="AC136" i="52" s="1"/>
  <c r="F19" i="53"/>
  <c r="E19" i="53"/>
  <c r="G19" i="53"/>
  <c r="AC140" i="52"/>
  <c r="I12" i="53" s="1"/>
  <c r="D19" i="53"/>
  <c r="AI149" i="52"/>
  <c r="U149" i="52" s="1"/>
  <c r="AK148" i="52"/>
  <c r="O148" i="52" s="1" a="1"/>
  <c r="O148" i="52" s="1"/>
  <c r="Z148" i="52" s="1"/>
  <c r="AJ148" i="52"/>
  <c r="N148" i="52" s="1" a="1"/>
  <c r="N148" i="52" s="1"/>
  <c r="Y148" i="52" s="1"/>
  <c r="AC148" i="52" s="1"/>
  <c r="I26" i="53" s="1"/>
  <c r="AH148" i="52"/>
  <c r="AG148" i="52" s="1"/>
  <c r="L148" i="52" s="1"/>
  <c r="AA148" i="52" s="1"/>
  <c r="AI113" i="52"/>
  <c r="U113" i="52" s="1"/>
  <c r="AJ112" i="52"/>
  <c r="N112" i="52" s="1" a="1"/>
  <c r="N112" i="52" s="1"/>
  <c r="Y112" i="52" s="1"/>
  <c r="AH112" i="52"/>
  <c r="AG112" i="52" s="1"/>
  <c r="L112" i="52" s="1"/>
  <c r="AA112" i="52" s="1"/>
  <c r="AK112" i="52"/>
  <c r="O112" i="52" s="1" a="1"/>
  <c r="O112" i="52" s="1"/>
  <c r="Z112" i="52" s="1"/>
  <c r="AI101" i="52"/>
  <c r="U101" i="52" s="1"/>
  <c r="AK100" i="52"/>
  <c r="O100" i="52" s="1" a="1"/>
  <c r="O100" i="52" s="1"/>
  <c r="Z100" i="52" s="1"/>
  <c r="AJ100" i="52"/>
  <c r="N100" i="52" s="1" a="1"/>
  <c r="N100" i="52" s="1"/>
  <c r="Y100" i="52" s="1"/>
  <c r="AH100" i="52"/>
  <c r="AG100" i="52" s="1"/>
  <c r="L100" i="52" s="1"/>
  <c r="AA100" i="52" s="1"/>
  <c r="AI89" i="52"/>
  <c r="U89" i="52" s="1"/>
  <c r="AH88" i="52"/>
  <c r="AG88" i="52" s="1"/>
  <c r="L88" i="52" s="1"/>
  <c r="AA88" i="52" s="1"/>
  <c r="AK88" i="52"/>
  <c r="O88" i="52" s="1" a="1"/>
  <c r="O88" i="52" s="1"/>
  <c r="Z88" i="52" s="1"/>
  <c r="AJ88" i="52"/>
  <c r="N88" i="52" s="1" a="1"/>
  <c r="N88" i="52" s="1"/>
  <c r="Y88" i="52" s="1"/>
  <c r="AT64" i="52"/>
  <c r="AK64" i="52" s="1"/>
  <c r="O64" i="52" s="1" a="1"/>
  <c r="O64" i="52" s="1"/>
  <c r="Z64" i="52" s="1"/>
  <c r="V79" i="52"/>
  <c r="AT52" i="52"/>
  <c r="AJ52" i="52" s="1"/>
  <c r="N52" i="52" s="1" a="1"/>
  <c r="N52" i="52" s="1"/>
  <c r="Y52" i="52" s="1"/>
  <c r="AT40" i="52"/>
  <c r="AH40" i="52" s="1"/>
  <c r="AG40" i="52" s="1"/>
  <c r="L40" i="52" s="1"/>
  <c r="AT28" i="52"/>
  <c r="AH28" i="52" s="1"/>
  <c r="AG28" i="52" s="1"/>
  <c r="L28" i="52" s="1"/>
  <c r="A13" i="52"/>
  <c r="A14" i="52" s="1"/>
  <c r="A15" i="52" s="1"/>
  <c r="A16" i="52" s="1"/>
  <c r="V18" i="52" s="1" a="1"/>
  <c r="V18" i="52" s="1"/>
  <c r="V14" i="52" a="1"/>
  <c r="V14" i="52" s="1"/>
  <c r="AT72" i="52"/>
  <c r="V75" i="52"/>
  <c r="AI69" i="52"/>
  <c r="U69" i="52" s="1"/>
  <c r="AK68" i="52"/>
  <c r="O68" i="52" s="1" a="1"/>
  <c r="O68" i="52" s="1"/>
  <c r="Z68" i="52" s="1"/>
  <c r="AJ68" i="52"/>
  <c r="N68" i="52" s="1" a="1"/>
  <c r="N68" i="52" s="1"/>
  <c r="Y68" i="52" s="1"/>
  <c r="AH68" i="52"/>
  <c r="AG68" i="52" s="1"/>
  <c r="L68" i="52" s="1"/>
  <c r="AI77" i="52"/>
  <c r="U77" i="52" s="1"/>
  <c r="AK76" i="52"/>
  <c r="O76" i="52" s="1" a="1"/>
  <c r="O76" i="52" s="1"/>
  <c r="Z76" i="52" s="1"/>
  <c r="AJ76" i="52"/>
  <c r="N76" i="52" s="1" a="1"/>
  <c r="N76" i="52" s="1"/>
  <c r="Y76" i="52" s="1"/>
  <c r="AH76" i="52"/>
  <c r="AG76" i="52" s="1"/>
  <c r="L76" i="52" s="1"/>
  <c r="AA76" i="52" s="1"/>
  <c r="AK60" i="52"/>
  <c r="O60" i="52" s="1" a="1"/>
  <c r="O60" i="52" s="1"/>
  <c r="Z60" i="52" s="1"/>
  <c r="AI61" i="52"/>
  <c r="U61" i="52" s="1"/>
  <c r="AJ60" i="52"/>
  <c r="N60" i="52" s="1" a="1"/>
  <c r="N60" i="52" s="1"/>
  <c r="Y60" i="52" s="1"/>
  <c r="AH60" i="52"/>
  <c r="AG60" i="52" s="1"/>
  <c r="L60" i="52" s="1"/>
  <c r="AA60" i="52" s="1"/>
  <c r="AI57" i="52"/>
  <c r="U57" i="52" s="1"/>
  <c r="AK56" i="52"/>
  <c r="O56" i="52" s="1" a="1"/>
  <c r="O56" i="52" s="1"/>
  <c r="Z56" i="52" s="1"/>
  <c r="AJ56" i="52"/>
  <c r="N56" i="52" s="1" a="1"/>
  <c r="N56" i="52" s="1"/>
  <c r="Y56" i="52" s="1"/>
  <c r="AH56" i="52"/>
  <c r="AG56" i="52" s="1"/>
  <c r="L56" i="52" s="1"/>
  <c r="AA56" i="52" s="1"/>
  <c r="AT48" i="52"/>
  <c r="V51" i="52"/>
  <c r="AH44" i="52"/>
  <c r="AG44" i="52" s="1"/>
  <c r="L44" i="52" s="1"/>
  <c r="AA44" i="52" s="1"/>
  <c r="AI45" i="52"/>
  <c r="U45" i="52" s="1"/>
  <c r="AK44" i="52"/>
  <c r="O44" i="52" s="1" a="1"/>
  <c r="O44" i="52" s="1"/>
  <c r="Z44" i="52" s="1"/>
  <c r="AJ44" i="52"/>
  <c r="N44" i="52" s="1" a="1"/>
  <c r="N44" i="52" s="1"/>
  <c r="Y44" i="52" s="1"/>
  <c r="AC44" i="52" s="1"/>
  <c r="AH32" i="52"/>
  <c r="AG32" i="52" s="1"/>
  <c r="L32" i="52" s="1"/>
  <c r="AA32" i="52" s="1"/>
  <c r="AI33" i="52"/>
  <c r="U33" i="52" s="1"/>
  <c r="AK32" i="52"/>
  <c r="O32" i="52" s="1" a="1"/>
  <c r="O32" i="52" s="1"/>
  <c r="Z32" i="52" s="1"/>
  <c r="AJ32" i="52"/>
  <c r="N32" i="52" s="1" a="1"/>
  <c r="N32" i="52" s="1"/>
  <c r="Y32" i="52" s="1"/>
  <c r="AT36" i="52"/>
  <c r="V39" i="52"/>
  <c r="V27" i="52"/>
  <c r="AT24" i="52"/>
  <c r="AI21" i="52"/>
  <c r="U21" i="52" s="1"/>
  <c r="AK20" i="52"/>
  <c r="O20" i="52" s="1" a="1"/>
  <c r="O20" i="52" s="1"/>
  <c r="Z20" i="52" s="1"/>
  <c r="AJ20" i="52"/>
  <c r="N20" i="52" s="1" a="1"/>
  <c r="N20" i="52" s="1"/>
  <c r="Y20" i="52" s="1"/>
  <c r="AH20" i="52"/>
  <c r="AG20" i="52" s="1"/>
  <c r="L20" i="52" s="1"/>
  <c r="AA20" i="52" s="1"/>
  <c r="P12" i="52" a="1"/>
  <c r="P12" i="52" s="1"/>
  <c r="V15" i="52"/>
  <c r="AK8" i="52"/>
  <c r="AH8" i="52"/>
  <c r="AG8" i="52" s="1"/>
  <c r="AJ8" i="52"/>
  <c r="AI9" i="52"/>
  <c r="U9" i="52" s="1"/>
  <c r="AT12" i="52"/>
  <c r="F75" i="36"/>
  <c r="K75" i="36"/>
  <c r="K74" i="36"/>
  <c r="K68" i="36"/>
  <c r="K67" i="36"/>
  <c r="F68" i="36"/>
  <c r="L8" i="52" l="1"/>
  <c r="AA8" i="52" s="1"/>
  <c r="AC20" i="52"/>
  <c r="AC32" i="52"/>
  <c r="AC56" i="52"/>
  <c r="AC60" i="52"/>
  <c r="AA68" i="52"/>
  <c r="AC68" i="52" s="1"/>
  <c r="AC76" i="52"/>
  <c r="AC88" i="52"/>
  <c r="AC100" i="52"/>
  <c r="AC112" i="52"/>
  <c r="D26" i="53"/>
  <c r="J26" i="53"/>
  <c r="G26" i="53"/>
  <c r="F26" i="53"/>
  <c r="E26" i="53"/>
  <c r="E12" i="53"/>
  <c r="J12" i="53"/>
  <c r="D12" i="53"/>
  <c r="G12" i="53"/>
  <c r="F12" i="53"/>
  <c r="AK40" i="52"/>
  <c r="O40" i="52" s="1" a="1"/>
  <c r="O40" i="52" s="1"/>
  <c r="Z40" i="52" s="1"/>
  <c r="AI29" i="52"/>
  <c r="U29" i="52" s="1"/>
  <c r="AA28" i="52" s="1"/>
  <c r="P16" i="52" a="1"/>
  <c r="P16" i="52" s="1"/>
  <c r="A17" i="52"/>
  <c r="A18" i="52" s="1"/>
  <c r="A19" i="52" s="1"/>
  <c r="AF16" i="52" a="1"/>
  <c r="AF16" i="52" s="1"/>
  <c r="AJ64" i="52"/>
  <c r="N64" i="52" s="1" a="1"/>
  <c r="N64" i="52" s="1"/>
  <c r="Y64" i="52" s="1"/>
  <c r="AI65" i="52"/>
  <c r="U65" i="52" s="1"/>
  <c r="AK28" i="52"/>
  <c r="O28" i="52" s="1" a="1"/>
  <c r="O28" i="52" s="1"/>
  <c r="Z28" i="52" s="1"/>
  <c r="AI41" i="52"/>
  <c r="U41" i="52" s="1"/>
  <c r="AA40" i="52" s="1"/>
  <c r="AH64" i="52"/>
  <c r="AG64" i="52" s="1"/>
  <c r="L64" i="52" s="1"/>
  <c r="AA64" i="52" s="1"/>
  <c r="AJ28" i="52"/>
  <c r="N28" i="52" s="1" a="1"/>
  <c r="N28" i="52" s="1"/>
  <c r="Y28" i="52" s="1"/>
  <c r="AJ40" i="52"/>
  <c r="N40" i="52" s="1" a="1"/>
  <c r="N40" i="52" s="1"/>
  <c r="Y40" i="52" s="1"/>
  <c r="AK52" i="52"/>
  <c r="O52" i="52" s="1" a="1"/>
  <c r="O52" i="52" s="1"/>
  <c r="Z52" i="52" s="1"/>
  <c r="AI53" i="52"/>
  <c r="U53" i="52" s="1"/>
  <c r="AH52" i="52"/>
  <c r="AG52" i="52" s="1"/>
  <c r="L52" i="52" s="1"/>
  <c r="AA52" i="52" s="1"/>
  <c r="AK72" i="52"/>
  <c r="O72" i="52" s="1" a="1"/>
  <c r="O72" i="52" s="1"/>
  <c r="Z72" i="52" s="1"/>
  <c r="AJ72" i="52"/>
  <c r="N72" i="52" s="1" a="1"/>
  <c r="N72" i="52" s="1"/>
  <c r="Y72" i="52" s="1"/>
  <c r="AH72" i="52"/>
  <c r="AG72" i="52" s="1"/>
  <c r="L72" i="52" s="1"/>
  <c r="AA72" i="52" s="1"/>
  <c r="AI73" i="52"/>
  <c r="U73" i="52" s="1"/>
  <c r="AK48" i="52"/>
  <c r="O48" i="52" s="1" a="1"/>
  <c r="O48" i="52" s="1"/>
  <c r="Z48" i="52" s="1"/>
  <c r="AJ48" i="52"/>
  <c r="N48" i="52" s="1" a="1"/>
  <c r="N48" i="52" s="1"/>
  <c r="Y48" i="52" s="1"/>
  <c r="AI49" i="52"/>
  <c r="U49" i="52" s="1"/>
  <c r="AH48" i="52"/>
  <c r="AG48" i="52" s="1"/>
  <c r="L48" i="52" s="1"/>
  <c r="AA48" i="52" s="1"/>
  <c r="AK36" i="52"/>
  <c r="O36" i="52" s="1" a="1"/>
  <c r="O36" i="52" s="1"/>
  <c r="Z36" i="52" s="1"/>
  <c r="AI37" i="52"/>
  <c r="U37" i="52" s="1"/>
  <c r="AJ36" i="52"/>
  <c r="N36" i="52" s="1" a="1"/>
  <c r="N36" i="52" s="1"/>
  <c r="Y36" i="52" s="1"/>
  <c r="AH36" i="52"/>
  <c r="AG36" i="52" s="1"/>
  <c r="L36" i="52" s="1"/>
  <c r="AA36" i="52" s="1"/>
  <c r="AK24" i="52"/>
  <c r="O24" i="52" s="1" a="1"/>
  <c r="O24" i="52" s="1"/>
  <c r="Z24" i="52" s="1"/>
  <c r="AJ24" i="52"/>
  <c r="N24" i="52" s="1" a="1"/>
  <c r="N24" i="52" s="1"/>
  <c r="Y24" i="52" s="1"/>
  <c r="AH24" i="52"/>
  <c r="AG24" i="52" s="1"/>
  <c r="L24" i="52" s="1"/>
  <c r="AA24" i="52" s="1"/>
  <c r="AI25" i="52"/>
  <c r="U25" i="52" s="1"/>
  <c r="AI13" i="52"/>
  <c r="U13" i="52" s="1"/>
  <c r="AH12" i="52"/>
  <c r="AG12" i="52" s="1"/>
  <c r="L12" i="52" s="1"/>
  <c r="AA12" i="52" s="1"/>
  <c r="AJ12" i="52"/>
  <c r="N12" i="52" s="1" a="1"/>
  <c r="N12" i="52" s="1"/>
  <c r="Y12" i="52" s="1"/>
  <c r="AC12" i="52" s="1"/>
  <c r="AK12" i="52"/>
  <c r="O12" i="52" s="1" a="1"/>
  <c r="O12" i="52" s="1"/>
  <c r="Z12" i="52" s="1"/>
  <c r="Q24" i="33"/>
  <c r="Q22" i="33"/>
  <c r="Q20" i="33"/>
  <c r="Q18" i="33"/>
  <c r="Q6" i="33"/>
  <c r="Q16" i="33" s="1"/>
  <c r="D27" i="13"/>
  <c r="D28" i="13"/>
  <c r="C28" i="13"/>
  <c r="C27" i="13"/>
  <c r="I25" i="33"/>
  <c r="R24" i="33"/>
  <c r="O24" i="33"/>
  <c r="L24" i="33"/>
  <c r="K24" i="33"/>
  <c r="I24" i="33"/>
  <c r="G24" i="33"/>
  <c r="F24" i="33"/>
  <c r="D24" i="33"/>
  <c r="I23" i="33"/>
  <c r="R22" i="33"/>
  <c r="O22" i="33"/>
  <c r="L22" i="33"/>
  <c r="K22" i="33"/>
  <c r="I22" i="33"/>
  <c r="G22" i="33"/>
  <c r="F22" i="33"/>
  <c r="D22" i="33"/>
  <c r="I21" i="33"/>
  <c r="R20" i="33"/>
  <c r="O20" i="33"/>
  <c r="L20" i="33"/>
  <c r="K20" i="33"/>
  <c r="I20" i="33"/>
  <c r="G20" i="33"/>
  <c r="F20" i="33"/>
  <c r="D20" i="33"/>
  <c r="I19" i="33"/>
  <c r="R18" i="33"/>
  <c r="O18" i="33"/>
  <c r="L18" i="33"/>
  <c r="K18" i="33"/>
  <c r="I18" i="33"/>
  <c r="G18" i="33"/>
  <c r="F18" i="33"/>
  <c r="D18" i="33"/>
  <c r="R16" i="33"/>
  <c r="O16" i="33"/>
  <c r="L16" i="33"/>
  <c r="K16" i="33"/>
  <c r="I16" i="33"/>
  <c r="I17" i="33"/>
  <c r="D16" i="33"/>
  <c r="F16" i="33"/>
  <c r="H16" i="33"/>
  <c r="G16" i="33"/>
  <c r="AC52" i="52" l="1"/>
  <c r="AC48" i="52"/>
  <c r="AC40" i="52"/>
  <c r="AC28" i="52"/>
  <c r="AC24" i="52"/>
  <c r="AC36" i="52"/>
  <c r="AC64" i="52"/>
  <c r="AC72" i="52"/>
  <c r="V19" i="52"/>
  <c r="AT16" i="52"/>
  <c r="J27" i="50"/>
  <c r="I27" i="50"/>
  <c r="H27" i="50"/>
  <c r="G27" i="50"/>
  <c r="F27" i="50"/>
  <c r="E27" i="50"/>
  <c r="D27" i="50"/>
  <c r="C27" i="50"/>
  <c r="B27" i="50"/>
  <c r="J30" i="49"/>
  <c r="I30" i="49"/>
  <c r="H30" i="49"/>
  <c r="G30" i="49"/>
  <c r="F30" i="49"/>
  <c r="E30" i="49"/>
  <c r="D30" i="49"/>
  <c r="C30" i="49"/>
  <c r="B30" i="49"/>
  <c r="F15" i="49"/>
  <c r="E15" i="49"/>
  <c r="D15" i="49"/>
  <c r="C15" i="49"/>
  <c r="B15" i="49"/>
  <c r="J30" i="48"/>
  <c r="I30" i="48"/>
  <c r="H30" i="48"/>
  <c r="G30" i="48"/>
  <c r="F30" i="48"/>
  <c r="E30" i="48"/>
  <c r="C30" i="48"/>
  <c r="J27" i="48"/>
  <c r="I27" i="48"/>
  <c r="H27" i="48"/>
  <c r="G27" i="48"/>
  <c r="C27" i="48"/>
  <c r="D27" i="48" s="1"/>
  <c r="D30" i="48" s="1"/>
  <c r="B27" i="48"/>
  <c r="B30" i="48" s="1"/>
  <c r="J17" i="48"/>
  <c r="I17" i="48"/>
  <c r="H17" i="48"/>
  <c r="G17" i="48"/>
  <c r="F17" i="48"/>
  <c r="E17" i="48"/>
  <c r="D17" i="48"/>
  <c r="C17" i="48"/>
  <c r="B17" i="48"/>
  <c r="J34" i="47"/>
  <c r="I34" i="47"/>
  <c r="H34" i="47"/>
  <c r="G34" i="47"/>
  <c r="F34" i="47"/>
  <c r="E34" i="47"/>
  <c r="D34" i="47"/>
  <c r="C34" i="47"/>
  <c r="B34" i="47"/>
  <c r="J34" i="46"/>
  <c r="I34" i="46"/>
  <c r="H34" i="46"/>
  <c r="G34" i="46"/>
  <c r="F34" i="46"/>
  <c r="E34" i="46"/>
  <c r="D34" i="46"/>
  <c r="C34" i="46"/>
  <c r="B34" i="46"/>
  <c r="J34" i="45"/>
  <c r="I34" i="45"/>
  <c r="H34" i="45"/>
  <c r="G34" i="45"/>
  <c r="F34" i="45"/>
  <c r="E34" i="45"/>
  <c r="D34" i="45"/>
  <c r="C34" i="45"/>
  <c r="B34" i="45"/>
  <c r="AK16" i="52" l="1"/>
  <c r="AJ16" i="52"/>
  <c r="AH16" i="52"/>
  <c r="AG16" i="52" s="1"/>
  <c r="L16" i="52" s="1"/>
  <c r="AA16" i="52" s="1"/>
  <c r="AI17" i="52"/>
  <c r="U17" i="52" s="1"/>
  <c r="O16" i="52" a="1"/>
  <c r="O16" i="52" s="1"/>
  <c r="Z16" i="52" s="1"/>
  <c r="N16" i="52" a="1"/>
  <c r="N16" i="52" s="1"/>
  <c r="Y16" i="52" s="1"/>
  <c r="X2" i="36"/>
  <c r="AC16" i="52" l="1"/>
  <c r="M38" i="13"/>
  <c r="D54" i="13" s="1"/>
  <c r="B29" i="35" s="1"/>
  <c r="M33" i="13"/>
  <c r="D49" i="13" s="1"/>
  <c r="B17" i="35" s="1"/>
  <c r="E17" i="42"/>
  <c r="E21" i="42"/>
  <c r="O5" i="34"/>
  <c r="O6" i="34"/>
  <c r="O7" i="34"/>
  <c r="O8" i="34"/>
  <c r="O9" i="34"/>
  <c r="O10" i="34"/>
  <c r="O11" i="34"/>
  <c r="H11" i="34" s="1"/>
  <c r="I11" i="34" s="1"/>
  <c r="H6" i="34"/>
  <c r="H7" i="34"/>
  <c r="H8" i="34"/>
  <c r="H9" i="34"/>
  <c r="H10" i="34"/>
  <c r="H5" i="34"/>
  <c r="I5" i="34" s="1"/>
  <c r="I6" i="34"/>
  <c r="I7" i="34"/>
  <c r="I8" i="34"/>
  <c r="I9" i="34"/>
  <c r="I10" i="34"/>
  <c r="C11" i="34"/>
  <c r="A11" i="34" s="1"/>
  <c r="C70" i="13" s="1"/>
  <c r="D70" i="13"/>
  <c r="M47" i="13" l="1"/>
  <c r="D63" i="13" s="1"/>
  <c r="B56" i="35" s="1"/>
  <c r="M43" i="13"/>
  <c r="C54" i="13"/>
  <c r="A29" i="35" s="1"/>
  <c r="D29" i="35" s="1"/>
  <c r="C49" i="13"/>
  <c r="A17" i="35" s="1"/>
  <c r="D17" i="35" s="1"/>
  <c r="A6" i="44"/>
  <c r="C63" i="13" l="1"/>
  <c r="A56" i="35" s="1"/>
  <c r="D56" i="35" s="1"/>
  <c r="C59" i="13"/>
  <c r="A44" i="35" s="1"/>
  <c r="D44" i="35" s="1"/>
  <c r="D59" i="13"/>
  <c r="B44" i="35" s="1"/>
  <c r="A142" i="36"/>
  <c r="A133" i="36"/>
  <c r="A124" i="36"/>
  <c r="A115" i="36"/>
  <c r="A106" i="36"/>
  <c r="A97" i="36"/>
  <c r="A88" i="36"/>
  <c r="A79" i="36"/>
  <c r="A72" i="36"/>
  <c r="A65" i="36"/>
  <c r="A59" i="36"/>
  <c r="A53" i="36"/>
  <c r="A47" i="36"/>
  <c r="A41" i="36"/>
  <c r="A35" i="36"/>
  <c r="A29" i="36"/>
  <c r="A23" i="36"/>
  <c r="A17" i="36"/>
  <c r="A11" i="36"/>
  <c r="A5" i="36"/>
  <c r="L12" i="44" l="1"/>
  <c r="L9" i="44"/>
  <c r="L6" i="44"/>
  <c r="D26" i="13" l="1"/>
  <c r="C26" i="13"/>
  <c r="F108" i="36" l="1"/>
  <c r="F74" i="36"/>
  <c r="F67" i="36"/>
  <c r="F37" i="36"/>
  <c r="F31" i="36"/>
  <c r="F13" i="36"/>
  <c r="F7" i="36"/>
  <c r="F144" i="36"/>
  <c r="F135" i="36"/>
  <c r="F126" i="36"/>
  <c r="F117" i="36"/>
  <c r="F99" i="36"/>
  <c r="F90" i="36"/>
  <c r="F81" i="36"/>
  <c r="F61" i="36"/>
  <c r="F55" i="36"/>
  <c r="F49" i="36"/>
  <c r="F43" i="36"/>
  <c r="F25" i="36"/>
  <c r="F19" i="36"/>
  <c r="AA149" i="36" l="1"/>
  <c r="Z149" i="36"/>
  <c r="Y149" i="36"/>
  <c r="X149" i="36"/>
  <c r="AA147" i="36"/>
  <c r="Z147" i="36"/>
  <c r="Y147" i="36"/>
  <c r="X147" i="36"/>
  <c r="AA145" i="36"/>
  <c r="Z145" i="36"/>
  <c r="Y145" i="36"/>
  <c r="X145" i="36"/>
  <c r="AA142" i="36"/>
  <c r="Z142" i="36"/>
  <c r="Y142" i="36"/>
  <c r="X142" i="36"/>
  <c r="AA140" i="36"/>
  <c r="Z140" i="36"/>
  <c r="Y140" i="36"/>
  <c r="X140" i="36"/>
  <c r="AA138" i="36"/>
  <c r="Z138" i="36"/>
  <c r="Y138" i="36"/>
  <c r="X138" i="36"/>
  <c r="AA136" i="36"/>
  <c r="Z136" i="36"/>
  <c r="Y136" i="36"/>
  <c r="X136" i="36"/>
  <c r="AA133" i="36"/>
  <c r="Z133" i="36"/>
  <c r="Y133" i="36"/>
  <c r="X133" i="36"/>
  <c r="AA131" i="36"/>
  <c r="Z131" i="36"/>
  <c r="Y131" i="36"/>
  <c r="X131" i="36"/>
  <c r="AA129" i="36"/>
  <c r="Z129" i="36"/>
  <c r="Y129" i="36"/>
  <c r="X129" i="36"/>
  <c r="AA127" i="36"/>
  <c r="Z127" i="36"/>
  <c r="Y127" i="36"/>
  <c r="X127" i="36"/>
  <c r="AA124" i="36"/>
  <c r="Z124" i="36"/>
  <c r="Y124" i="36"/>
  <c r="X124" i="36"/>
  <c r="AA122" i="36"/>
  <c r="Z122" i="36"/>
  <c r="Y122" i="36"/>
  <c r="X122" i="36"/>
  <c r="AA120" i="36"/>
  <c r="Z120" i="36"/>
  <c r="Y120" i="36"/>
  <c r="X120" i="36"/>
  <c r="AA118" i="36"/>
  <c r="Z118" i="36"/>
  <c r="Y118" i="36"/>
  <c r="X118" i="36"/>
  <c r="AA115" i="36"/>
  <c r="Z115" i="36"/>
  <c r="Y115" i="36"/>
  <c r="X115" i="36"/>
  <c r="AA113" i="36"/>
  <c r="Z113" i="36"/>
  <c r="Y113" i="36"/>
  <c r="X113" i="36"/>
  <c r="AA111" i="36"/>
  <c r="Z111" i="36"/>
  <c r="Y111" i="36"/>
  <c r="X111" i="36"/>
  <c r="AA109" i="36"/>
  <c r="Z109" i="36"/>
  <c r="Y109" i="36"/>
  <c r="X109" i="36"/>
  <c r="AA106" i="36"/>
  <c r="Z106" i="36"/>
  <c r="Y106" i="36"/>
  <c r="X106" i="36"/>
  <c r="AA104" i="36"/>
  <c r="Z104" i="36"/>
  <c r="Y104" i="36"/>
  <c r="X104" i="36"/>
  <c r="AA102" i="36"/>
  <c r="Z102" i="36"/>
  <c r="Y102" i="36"/>
  <c r="X102" i="36"/>
  <c r="AA100" i="36"/>
  <c r="Z100" i="36"/>
  <c r="Y100" i="36"/>
  <c r="X100" i="36"/>
  <c r="AA97" i="36"/>
  <c r="Z97" i="36"/>
  <c r="Y97" i="36"/>
  <c r="X97" i="36"/>
  <c r="AA95" i="36"/>
  <c r="Z95" i="36"/>
  <c r="Y95" i="36"/>
  <c r="X95" i="36"/>
  <c r="AA93" i="36"/>
  <c r="Z93" i="36"/>
  <c r="Y93" i="36"/>
  <c r="X93" i="36"/>
  <c r="AA91" i="36"/>
  <c r="Z91" i="36"/>
  <c r="Y91" i="36"/>
  <c r="X91" i="36"/>
  <c r="AA88" i="36"/>
  <c r="Z88" i="36"/>
  <c r="Y88" i="36"/>
  <c r="X88" i="36"/>
  <c r="AA86" i="36"/>
  <c r="Z86" i="36"/>
  <c r="Y86" i="36"/>
  <c r="X86" i="36"/>
  <c r="AA84" i="36"/>
  <c r="Z84" i="36"/>
  <c r="Y84" i="36"/>
  <c r="X84" i="36"/>
  <c r="AA82" i="36"/>
  <c r="Z82" i="36"/>
  <c r="Y82" i="36"/>
  <c r="X82" i="36"/>
  <c r="AA79" i="36"/>
  <c r="Z79" i="36"/>
  <c r="Y79" i="36"/>
  <c r="X79" i="36"/>
  <c r="AA78" i="36"/>
  <c r="Z78" i="36"/>
  <c r="Y78" i="36"/>
  <c r="X78" i="36"/>
  <c r="AA77" i="36"/>
  <c r="Z77" i="36"/>
  <c r="Y77" i="36"/>
  <c r="X77" i="36"/>
  <c r="AA76" i="36"/>
  <c r="Z76" i="36"/>
  <c r="Y76" i="36"/>
  <c r="X76" i="36"/>
  <c r="AA72" i="36"/>
  <c r="Z72" i="36"/>
  <c r="Y72" i="36"/>
  <c r="X72" i="36"/>
  <c r="AA71" i="36"/>
  <c r="Z71" i="36"/>
  <c r="Y71" i="36"/>
  <c r="X71" i="36"/>
  <c r="AA70" i="36"/>
  <c r="Z70" i="36"/>
  <c r="Y70" i="36"/>
  <c r="X70" i="36"/>
  <c r="AA69" i="36"/>
  <c r="Z69" i="36"/>
  <c r="Y69" i="36"/>
  <c r="X69" i="36"/>
  <c r="AA65" i="36"/>
  <c r="Z65" i="36"/>
  <c r="Y65" i="36"/>
  <c r="X65" i="36"/>
  <c r="AA64" i="36"/>
  <c r="Z64" i="36"/>
  <c r="Y64" i="36"/>
  <c r="X64" i="36"/>
  <c r="AA63" i="36"/>
  <c r="Z63" i="36"/>
  <c r="Y63" i="36"/>
  <c r="X63" i="36"/>
  <c r="AA62" i="36"/>
  <c r="Z62" i="36"/>
  <c r="Y62" i="36"/>
  <c r="X62" i="36"/>
  <c r="AA59" i="36"/>
  <c r="Z59" i="36"/>
  <c r="Y59" i="36"/>
  <c r="X59" i="36"/>
  <c r="AA58" i="36"/>
  <c r="Z58" i="36"/>
  <c r="Y58" i="36"/>
  <c r="X58" i="36"/>
  <c r="AA57" i="36"/>
  <c r="Z57" i="36"/>
  <c r="Y57" i="36"/>
  <c r="X57" i="36"/>
  <c r="AA56" i="36"/>
  <c r="Z56" i="36"/>
  <c r="Y56" i="36"/>
  <c r="X56" i="36"/>
  <c r="AA53" i="36"/>
  <c r="Z53" i="36"/>
  <c r="Y53" i="36"/>
  <c r="X53" i="36"/>
  <c r="AA52" i="36"/>
  <c r="Z52" i="36"/>
  <c r="Y52" i="36"/>
  <c r="X52" i="36"/>
  <c r="AA51" i="36"/>
  <c r="Z51" i="36"/>
  <c r="Y51" i="36"/>
  <c r="X51" i="36"/>
  <c r="AA50" i="36"/>
  <c r="Z50" i="36"/>
  <c r="Y50" i="36"/>
  <c r="X50" i="36"/>
  <c r="AA47" i="36"/>
  <c r="Z47" i="36"/>
  <c r="Y47" i="36"/>
  <c r="X47" i="36"/>
  <c r="AA46" i="36"/>
  <c r="Z46" i="36"/>
  <c r="Y46" i="36"/>
  <c r="X46" i="36"/>
  <c r="AA45" i="36"/>
  <c r="Z45" i="36"/>
  <c r="Y45" i="36"/>
  <c r="X45" i="36"/>
  <c r="AA44" i="36"/>
  <c r="Z44" i="36"/>
  <c r="Y44" i="36"/>
  <c r="X44" i="36"/>
  <c r="AA41" i="36"/>
  <c r="Z41" i="36"/>
  <c r="Y41" i="36"/>
  <c r="X41" i="36"/>
  <c r="AA40" i="36"/>
  <c r="Z40" i="36"/>
  <c r="Y40" i="36"/>
  <c r="X40" i="36"/>
  <c r="AA39" i="36"/>
  <c r="Z39" i="36"/>
  <c r="Y39" i="36"/>
  <c r="X39" i="36"/>
  <c r="AA38" i="36"/>
  <c r="Z38" i="36"/>
  <c r="Y38" i="36"/>
  <c r="X38" i="36"/>
  <c r="AA35" i="36"/>
  <c r="Z35" i="36"/>
  <c r="Y35" i="36"/>
  <c r="X35" i="36"/>
  <c r="AA34" i="36"/>
  <c r="Z34" i="36"/>
  <c r="Y34" i="36"/>
  <c r="X34" i="36"/>
  <c r="AA33" i="36"/>
  <c r="Z33" i="36"/>
  <c r="Y33" i="36"/>
  <c r="X33" i="36"/>
  <c r="AA32" i="36"/>
  <c r="Z32" i="36"/>
  <c r="Y32" i="36"/>
  <c r="X32" i="36"/>
  <c r="AA29" i="36"/>
  <c r="Z29" i="36"/>
  <c r="Y29" i="36"/>
  <c r="X29" i="36"/>
  <c r="AA28" i="36"/>
  <c r="Z28" i="36"/>
  <c r="Y28" i="36"/>
  <c r="X28" i="36"/>
  <c r="AA27" i="36"/>
  <c r="Z27" i="36"/>
  <c r="Y27" i="36"/>
  <c r="X27" i="36"/>
  <c r="AA26" i="36"/>
  <c r="Z26" i="36"/>
  <c r="Y26" i="36"/>
  <c r="X26" i="36"/>
  <c r="AA23" i="36"/>
  <c r="Z23" i="36"/>
  <c r="Y23" i="36"/>
  <c r="X23" i="36"/>
  <c r="AA22" i="36"/>
  <c r="Z22" i="36"/>
  <c r="Y22" i="36"/>
  <c r="X22" i="36"/>
  <c r="AA21" i="36"/>
  <c r="Z21" i="36"/>
  <c r="Y21" i="36"/>
  <c r="X21" i="36"/>
  <c r="AA20" i="36"/>
  <c r="Z20" i="36"/>
  <c r="Y20" i="36"/>
  <c r="X20" i="36"/>
  <c r="AA17" i="36"/>
  <c r="Z17" i="36"/>
  <c r="Y17" i="36"/>
  <c r="X17" i="36"/>
  <c r="AA16" i="36"/>
  <c r="Z16" i="36"/>
  <c r="Y16" i="36"/>
  <c r="X16" i="36"/>
  <c r="AA15" i="36"/>
  <c r="Z15" i="36"/>
  <c r="Y15" i="36"/>
  <c r="X15" i="36"/>
  <c r="AA14" i="36"/>
  <c r="Z14" i="36"/>
  <c r="Y14" i="36"/>
  <c r="X14" i="36"/>
  <c r="AA11" i="36"/>
  <c r="Z11" i="36"/>
  <c r="Y11" i="36"/>
  <c r="X11" i="36"/>
  <c r="AA10" i="36"/>
  <c r="Z10" i="36"/>
  <c r="Y10" i="36"/>
  <c r="X10" i="36"/>
  <c r="AA9" i="36"/>
  <c r="Z9" i="36"/>
  <c r="Y9" i="36"/>
  <c r="X9" i="36"/>
  <c r="AA8" i="36"/>
  <c r="Z8" i="36"/>
  <c r="Y8" i="36"/>
  <c r="X8" i="36"/>
  <c r="AA5" i="36"/>
  <c r="Z5" i="36"/>
  <c r="Y5" i="36"/>
  <c r="X5" i="36"/>
  <c r="AA4" i="36"/>
  <c r="Z4" i="36"/>
  <c r="Y4" i="36"/>
  <c r="X4" i="36"/>
  <c r="AA3" i="36"/>
  <c r="Z3" i="36"/>
  <c r="Y3" i="36"/>
  <c r="X3" i="36"/>
  <c r="AA2" i="36"/>
  <c r="Z2" i="36"/>
  <c r="Y2" i="36"/>
  <c r="R37" i="34" l="1"/>
  <c r="S34" i="34"/>
  <c r="S37" i="34"/>
  <c r="Y61" i="34"/>
  <c r="Y62" i="34" s="1"/>
  <c r="Y64" i="34" s="1"/>
  <c r="Y65" i="34" s="1"/>
  <c r="Y38" i="34"/>
  <c r="Y39" i="34" s="1"/>
  <c r="AA38" i="34"/>
  <c r="AA39" i="34"/>
  <c r="AA46" i="34" s="1"/>
  <c r="C6" i="13"/>
  <c r="E13" i="42"/>
  <c r="M29" i="13" s="1"/>
  <c r="M39" i="13" s="1"/>
  <c r="E14" i="42"/>
  <c r="E15" i="42"/>
  <c r="E16" i="42"/>
  <c r="E18" i="42"/>
  <c r="M34" i="13" s="1"/>
  <c r="E19" i="42"/>
  <c r="E20" i="42"/>
  <c r="E22" i="42"/>
  <c r="E23" i="42"/>
  <c r="E24" i="42"/>
  <c r="E25" i="42"/>
  <c r="E26" i="42"/>
  <c r="E27" i="42"/>
  <c r="E28" i="42"/>
  <c r="E29" i="42"/>
  <c r="E30" i="42"/>
  <c r="E31" i="42"/>
  <c r="E32" i="42"/>
  <c r="E33" i="42"/>
  <c r="E34" i="42"/>
  <c r="E35" i="42"/>
  <c r="E36" i="42"/>
  <c r="E37" i="42"/>
  <c r="E38" i="42"/>
  <c r="E39" i="42"/>
  <c r="E40" i="42"/>
  <c r="E41" i="42"/>
  <c r="G78" i="42"/>
  <c r="G45" i="42"/>
  <c r="G79" i="42"/>
  <c r="H79" i="42" s="1"/>
  <c r="G46" i="42"/>
  <c r="G80" i="42"/>
  <c r="G47" i="42" s="1"/>
  <c r="G81" i="42"/>
  <c r="H81" i="42" s="1"/>
  <c r="G48" i="42"/>
  <c r="G82" i="42"/>
  <c r="H82" i="42" s="1"/>
  <c r="G49" i="42"/>
  <c r="G83" i="42"/>
  <c r="L84" i="42" s="1"/>
  <c r="G84" i="42"/>
  <c r="G51" i="42" s="1"/>
  <c r="G86" i="42"/>
  <c r="G53" i="42" s="1"/>
  <c r="G87" i="42"/>
  <c r="G54" i="42"/>
  <c r="H87" i="42"/>
  <c r="H54" i="42"/>
  <c r="G88" i="42"/>
  <c r="G55" i="42"/>
  <c r="G90" i="42"/>
  <c r="G57" i="42"/>
  <c r="G91" i="42"/>
  <c r="G58" i="42" s="1"/>
  <c r="AC77" i="42"/>
  <c r="AK76" i="42" s="1"/>
  <c r="AC79" i="42"/>
  <c r="AL76" i="42" s="1"/>
  <c r="AC81" i="42"/>
  <c r="AM76" i="42" s="1"/>
  <c r="AC80" i="42"/>
  <c r="AO76" i="42" s="1"/>
  <c r="AC82" i="42"/>
  <c r="AP76" i="42" s="1"/>
  <c r="AE78" i="42"/>
  <c r="AQ76" i="42" s="1"/>
  <c r="AE80" i="42"/>
  <c r="AR76" i="42" s="1"/>
  <c r="AE82" i="42"/>
  <c r="AS76" i="42" s="1"/>
  <c r="AE77" i="42"/>
  <c r="AF77" i="42"/>
  <c r="AC78" i="42"/>
  <c r="AF78" i="42"/>
  <c r="AC89" i="42"/>
  <c r="AK78" i="42" s="1"/>
  <c r="AC91" i="42"/>
  <c r="AL78" i="42" s="1"/>
  <c r="AC93" i="42"/>
  <c r="AM78" i="42" s="1"/>
  <c r="AC90" i="42"/>
  <c r="AN78" i="42" s="1"/>
  <c r="AC92" i="42"/>
  <c r="AO78" i="42" s="1"/>
  <c r="AC94" i="42"/>
  <c r="AP78" i="42" s="1"/>
  <c r="AE92" i="42"/>
  <c r="AR78" i="42" s="1"/>
  <c r="AE94" i="42"/>
  <c r="AS78" i="42" s="1"/>
  <c r="P79" i="42"/>
  <c r="R79" i="42"/>
  <c r="AE79" i="42"/>
  <c r="AF79" i="42"/>
  <c r="R80" i="42"/>
  <c r="AD81" i="42"/>
  <c r="AE81" i="42"/>
  <c r="AF81" i="42"/>
  <c r="AE108" i="42"/>
  <c r="AQ81" i="42" s="1"/>
  <c r="AF82" i="42"/>
  <c r="AC113" i="42"/>
  <c r="AK82" i="42"/>
  <c r="AC117" i="42"/>
  <c r="AM82" i="42" s="1"/>
  <c r="AC114" i="42"/>
  <c r="AN82" i="42"/>
  <c r="AC118" i="42"/>
  <c r="AP82" i="42"/>
  <c r="AE116" i="42"/>
  <c r="AR82" i="42" s="1"/>
  <c r="H116" i="42"/>
  <c r="H117" i="42"/>
  <c r="AE83" i="42" s="1"/>
  <c r="AC121" i="42"/>
  <c r="AL83" i="42" s="1"/>
  <c r="AC123" i="42"/>
  <c r="AM83" i="42"/>
  <c r="AC122" i="42"/>
  <c r="AO83" i="42"/>
  <c r="AC124" i="42"/>
  <c r="AP83" i="42" s="1"/>
  <c r="AE120" i="42"/>
  <c r="AQ83" i="42" s="1"/>
  <c r="H84" i="42"/>
  <c r="L85" i="42"/>
  <c r="H86" i="42"/>
  <c r="I87" i="42"/>
  <c r="I54" i="42" s="1"/>
  <c r="H119" i="42"/>
  <c r="H120" i="42"/>
  <c r="AD87" i="42"/>
  <c r="AF87" i="42"/>
  <c r="H88" i="42"/>
  <c r="H55" i="42" s="1"/>
  <c r="AC88" i="42"/>
  <c r="AP77" i="42" s="1"/>
  <c r="AE88" i="42"/>
  <c r="AS77" i="42" s="1"/>
  <c r="G89" i="42"/>
  <c r="AD89" i="42"/>
  <c r="AE89" i="42"/>
  <c r="AF89" i="42"/>
  <c r="H90" i="42"/>
  <c r="AE90" i="42"/>
  <c r="AQ78" i="42" s="1"/>
  <c r="AF90" i="42"/>
  <c r="AD91" i="42"/>
  <c r="AE91" i="42"/>
  <c r="AF91" i="42"/>
  <c r="AN91" i="42"/>
  <c r="AO91" i="42"/>
  <c r="AO92" i="42" s="1"/>
  <c r="AO93" i="42" s="1"/>
  <c r="AO94" i="42" s="1"/>
  <c r="AO95" i="42" s="1"/>
  <c r="AO96" i="42" s="1"/>
  <c r="AO97" i="42" s="1"/>
  <c r="AP91" i="42"/>
  <c r="AQ91" i="42"/>
  <c r="AQ92" i="42" s="1"/>
  <c r="AQ93" i="42" s="1"/>
  <c r="AQ94" i="42" s="1"/>
  <c r="AQ95" i="42" s="1"/>
  <c r="AQ96" i="42" s="1"/>
  <c r="AQ97" i="42" s="1"/>
  <c r="AR91" i="42"/>
  <c r="AR92" i="42" s="1"/>
  <c r="AR93" i="42" s="1"/>
  <c r="AR94" i="42" s="1"/>
  <c r="AR95" i="42" s="1"/>
  <c r="AR96" i="42" s="1"/>
  <c r="AR97" i="42" s="1"/>
  <c r="AS91" i="42"/>
  <c r="AF92" i="42"/>
  <c r="AN92" i="42"/>
  <c r="AN93" i="42" s="1"/>
  <c r="AN94" i="42" s="1"/>
  <c r="AN95" i="42" s="1"/>
  <c r="AN96" i="42" s="1"/>
  <c r="AN97" i="42" s="1"/>
  <c r="AP92" i="42"/>
  <c r="AP93" i="42" s="1"/>
  <c r="AP94" i="42" s="1"/>
  <c r="AP95" i="42" s="1"/>
  <c r="AP96" i="42" s="1"/>
  <c r="AP97" i="42" s="1"/>
  <c r="AS92" i="42"/>
  <c r="AS93" i="42" s="1"/>
  <c r="AS94" i="42" s="1"/>
  <c r="AS95" i="42" s="1"/>
  <c r="AS96" i="42" s="1"/>
  <c r="AS97" i="42" s="1"/>
  <c r="AD93" i="42"/>
  <c r="AE93" i="42"/>
  <c r="AF93" i="42"/>
  <c r="J180" i="42"/>
  <c r="AF95" i="42"/>
  <c r="AF97" i="42"/>
  <c r="AD99" i="42"/>
  <c r="AC100" i="42"/>
  <c r="AP79" i="42" s="1"/>
  <c r="J198" i="42"/>
  <c r="AF101" i="42" s="1"/>
  <c r="AE102" i="42"/>
  <c r="AQ80" i="42"/>
  <c r="AC104" i="42"/>
  <c r="AO80" i="42" s="1"/>
  <c r="AE106" i="42"/>
  <c r="AS80" i="42" s="1"/>
  <c r="I109" i="42"/>
  <c r="I158" i="42" s="1"/>
  <c r="AE109" i="42"/>
  <c r="AE110" i="42"/>
  <c r="AR81" i="42" s="1"/>
  <c r="E111" i="42"/>
  <c r="F111" i="42"/>
  <c r="G111" i="42"/>
  <c r="H111" i="42"/>
  <c r="E112" i="42"/>
  <c r="F112" i="42"/>
  <c r="G112" i="42"/>
  <c r="H112" i="42"/>
  <c r="AE85" i="42" s="1"/>
  <c r="E113" i="42"/>
  <c r="F113" i="42"/>
  <c r="G113" i="42"/>
  <c r="H113" i="42"/>
  <c r="F146" i="42" s="1"/>
  <c r="H114" i="42"/>
  <c r="H115" i="42"/>
  <c r="H78" i="42"/>
  <c r="I100" i="42" s="1"/>
  <c r="I106" i="42"/>
  <c r="I117" i="42"/>
  <c r="I107" i="42"/>
  <c r="I118" i="42" s="1"/>
  <c r="E283" i="42"/>
  <c r="G85" i="42" s="1"/>
  <c r="E290" i="42"/>
  <c r="H118" i="42"/>
  <c r="AC87" i="42" s="1"/>
  <c r="AM77" i="42" s="1"/>
  <c r="H121" i="42"/>
  <c r="AD113" i="42"/>
  <c r="AE113" i="42"/>
  <c r="AF113" i="42"/>
  <c r="E114" i="42"/>
  <c r="F114" i="42"/>
  <c r="G114" i="42"/>
  <c r="AD114" i="42"/>
  <c r="AE114" i="42"/>
  <c r="AQ82" i="42"/>
  <c r="AF114" i="42"/>
  <c r="E115" i="42"/>
  <c r="F115" i="42"/>
  <c r="G115" i="42"/>
  <c r="AC115" i="42"/>
  <c r="AL82" i="42"/>
  <c r="AD115" i="42"/>
  <c r="AE115" i="42"/>
  <c r="AF115" i="42"/>
  <c r="E116" i="42"/>
  <c r="F116" i="42"/>
  <c r="G116" i="42"/>
  <c r="AC116" i="42"/>
  <c r="AO82" i="42"/>
  <c r="AD116" i="42"/>
  <c r="AF116" i="42"/>
  <c r="E117" i="42"/>
  <c r="F117" i="42"/>
  <c r="G117" i="42"/>
  <c r="AF83" i="42"/>
  <c r="AD117" i="42"/>
  <c r="AE117" i="42"/>
  <c r="AF117" i="42"/>
  <c r="E118" i="42"/>
  <c r="F118" i="42"/>
  <c r="G118" i="42"/>
  <c r="AE118" i="42"/>
  <c r="AS82" i="42"/>
  <c r="AF118" i="42"/>
  <c r="E119" i="42"/>
  <c r="F119" i="42"/>
  <c r="G119" i="42"/>
  <c r="AC119" i="42"/>
  <c r="AK83" i="42" s="1"/>
  <c r="AD119" i="42"/>
  <c r="AE119" i="42"/>
  <c r="AF119" i="42"/>
  <c r="E120" i="42"/>
  <c r="F120" i="42"/>
  <c r="G120" i="42"/>
  <c r="AC120" i="42"/>
  <c r="AN83" i="42"/>
  <c r="AD120" i="42"/>
  <c r="AF120" i="42"/>
  <c r="E121" i="42"/>
  <c r="F121" i="42"/>
  <c r="G121" i="42"/>
  <c r="AD121" i="42"/>
  <c r="AE121" i="42"/>
  <c r="AF121" i="42"/>
  <c r="AD122" i="42"/>
  <c r="AE122" i="42"/>
  <c r="AR83" i="42"/>
  <c r="AF122" i="42"/>
  <c r="AD123" i="42"/>
  <c r="AE123" i="42"/>
  <c r="AF123" i="42"/>
  <c r="AE124" i="42"/>
  <c r="AS83" i="42" s="1"/>
  <c r="AF124" i="42"/>
  <c r="C136" i="42"/>
  <c r="E136" i="42"/>
  <c r="F136" i="42"/>
  <c r="C137" i="42"/>
  <c r="E137" i="42"/>
  <c r="F137" i="42"/>
  <c r="C138" i="42"/>
  <c r="E138" i="42"/>
  <c r="F138" i="42"/>
  <c r="C139" i="42"/>
  <c r="E139" i="42"/>
  <c r="C140" i="42"/>
  <c r="D140" i="42"/>
  <c r="E140" i="42"/>
  <c r="F140" i="42"/>
  <c r="C141" i="42"/>
  <c r="E141" i="42"/>
  <c r="F141" i="42"/>
  <c r="C144" i="42"/>
  <c r="F144" i="42"/>
  <c r="C145" i="42"/>
  <c r="E145" i="42"/>
  <c r="F145" i="42"/>
  <c r="D148" i="42"/>
  <c r="F148" i="42"/>
  <c r="C149" i="42"/>
  <c r="E149" i="42"/>
  <c r="I159" i="42"/>
  <c r="I160" i="42"/>
  <c r="I179" i="42"/>
  <c r="I197" i="42" s="1"/>
  <c r="AF106" i="42" s="1"/>
  <c r="C164" i="42"/>
  <c r="D164" i="42"/>
  <c r="E164" i="42"/>
  <c r="F164" i="42"/>
  <c r="C165" i="42"/>
  <c r="E165" i="42"/>
  <c r="F165" i="42"/>
  <c r="C166" i="42"/>
  <c r="D166" i="42"/>
  <c r="E166" i="42"/>
  <c r="F166" i="42"/>
  <c r="C167" i="42"/>
  <c r="E167" i="42"/>
  <c r="F167" i="42"/>
  <c r="C168" i="42"/>
  <c r="D168" i="42"/>
  <c r="E168" i="42"/>
  <c r="F168" i="42"/>
  <c r="C169" i="42"/>
  <c r="E169" i="42"/>
  <c r="E174" i="42"/>
  <c r="E192" i="42" s="1"/>
  <c r="E212" i="42" s="1"/>
  <c r="E218" i="42" s="1"/>
  <c r="F174" i="42"/>
  <c r="F192" i="42" s="1"/>
  <c r="E175" i="42"/>
  <c r="E193" i="42" s="1"/>
  <c r="E213" i="42" s="1"/>
  <c r="E219" i="42" s="1"/>
  <c r="F175" i="42"/>
  <c r="F193" i="42" s="1"/>
  <c r="E176" i="42"/>
  <c r="E194" i="42"/>
  <c r="F176" i="42"/>
  <c r="E177" i="42"/>
  <c r="E195" i="42"/>
  <c r="F177" i="42"/>
  <c r="F195" i="42"/>
  <c r="E178" i="42"/>
  <c r="F178" i="42"/>
  <c r="F196" i="42" s="1"/>
  <c r="I178" i="42"/>
  <c r="E179" i="42"/>
  <c r="E197" i="42" s="1"/>
  <c r="F179" i="42"/>
  <c r="E180" i="42"/>
  <c r="E198" i="42" s="1"/>
  <c r="F180" i="42"/>
  <c r="F198" i="42" s="1"/>
  <c r="AC95" i="42"/>
  <c r="AK79" i="42"/>
  <c r="C183" i="42"/>
  <c r="F183" i="42"/>
  <c r="C184" i="42"/>
  <c r="C185" i="42"/>
  <c r="F185" i="42"/>
  <c r="C186" i="42"/>
  <c r="F186" i="42"/>
  <c r="C187" i="42"/>
  <c r="F187" i="42"/>
  <c r="C188" i="42"/>
  <c r="F194" i="42"/>
  <c r="E196" i="42"/>
  <c r="F197" i="42"/>
  <c r="AC101" i="42"/>
  <c r="AK80" i="42" s="1"/>
  <c r="C202" i="42"/>
  <c r="D202" i="42"/>
  <c r="E202" i="42"/>
  <c r="F202" i="42"/>
  <c r="C203" i="42"/>
  <c r="E203" i="42"/>
  <c r="D204" i="42"/>
  <c r="E204" i="42"/>
  <c r="E205" i="42"/>
  <c r="F205" i="42"/>
  <c r="C206" i="42"/>
  <c r="D206" i="42"/>
  <c r="E206" i="42"/>
  <c r="F206" i="42"/>
  <c r="C207" i="42"/>
  <c r="F218" i="42"/>
  <c r="G218" i="42"/>
  <c r="H218" i="42"/>
  <c r="F219" i="42"/>
  <c r="G219" i="42"/>
  <c r="H219" i="42"/>
  <c r="E237" i="42" s="1"/>
  <c r="AE112" i="42" s="1"/>
  <c r="AS81" i="42" s="1"/>
  <c r="E220" i="42"/>
  <c r="E243" i="42" s="1"/>
  <c r="E245" i="42" s="1"/>
  <c r="F220" i="42"/>
  <c r="G220" i="42"/>
  <c r="H220" i="42"/>
  <c r="D236" i="42" s="1"/>
  <c r="E221" i="42"/>
  <c r="F221" i="42"/>
  <c r="G221" i="42"/>
  <c r="H221" i="42"/>
  <c r="E234" i="42" s="1"/>
  <c r="C224" i="42"/>
  <c r="C232" i="42"/>
  <c r="AC107" i="42"/>
  <c r="AK81" i="42" s="1"/>
  <c r="D224" i="42"/>
  <c r="AD107" i="42" s="1"/>
  <c r="D232" i="42"/>
  <c r="E224" i="42"/>
  <c r="J225" i="42" s="1"/>
  <c r="F224" i="42"/>
  <c r="K225" i="42" s="1"/>
  <c r="F232" i="42"/>
  <c r="C225" i="42"/>
  <c r="E225" i="42"/>
  <c r="F225" i="42"/>
  <c r="AF108" i="42" s="1"/>
  <c r="C226" i="42"/>
  <c r="AC109" i="42" s="1"/>
  <c r="AL81" i="42" s="1"/>
  <c r="D226" i="42"/>
  <c r="I227" i="42" s="1"/>
  <c r="E226" i="42"/>
  <c r="F226" i="42"/>
  <c r="E233" i="42"/>
  <c r="J226" i="42" s="1"/>
  <c r="C227" i="42"/>
  <c r="E227" i="42"/>
  <c r="F227" i="42"/>
  <c r="C228" i="42"/>
  <c r="D228" i="42"/>
  <c r="E228" i="42"/>
  <c r="F228" i="42"/>
  <c r="AF111" i="42" s="1"/>
  <c r="C229" i="42"/>
  <c r="E229" i="42"/>
  <c r="J230" i="42" s="1"/>
  <c r="H225" i="42"/>
  <c r="E232" i="42"/>
  <c r="C233" i="42"/>
  <c r="D233" i="42"/>
  <c r="F233" i="42"/>
  <c r="K226" i="42" s="1"/>
  <c r="C234" i="42"/>
  <c r="H227" i="42"/>
  <c r="D234" i="42"/>
  <c r="AD109" i="42" s="1"/>
  <c r="C236" i="42"/>
  <c r="F236" i="42"/>
  <c r="K229" i="42" s="1"/>
  <c r="F237" i="42"/>
  <c r="F244" i="42"/>
  <c r="F245" i="42"/>
  <c r="C248" i="42"/>
  <c r="D248" i="42"/>
  <c r="E248" i="42"/>
  <c r="F248" i="42"/>
  <c r="C249" i="42"/>
  <c r="D249" i="42"/>
  <c r="E249" i="42"/>
  <c r="F249" i="42"/>
  <c r="C250" i="42"/>
  <c r="D250" i="42"/>
  <c r="E250" i="42"/>
  <c r="F250" i="42"/>
  <c r="C251" i="42"/>
  <c r="D251" i="42"/>
  <c r="E251" i="42"/>
  <c r="F251" i="42"/>
  <c r="C252" i="42"/>
  <c r="D252" i="42"/>
  <c r="E252" i="42"/>
  <c r="F252" i="42"/>
  <c r="C253" i="42"/>
  <c r="E253" i="42"/>
  <c r="F253" i="42"/>
  <c r="C255" i="42"/>
  <c r="D255" i="42"/>
  <c r="E255" i="42"/>
  <c r="F255" i="42"/>
  <c r="C256" i="42"/>
  <c r="D256" i="42"/>
  <c r="E256" i="42"/>
  <c r="F256" i="42"/>
  <c r="C257" i="42"/>
  <c r="D257" i="42"/>
  <c r="E257" i="42"/>
  <c r="F257" i="42"/>
  <c r="C258" i="42"/>
  <c r="D258" i="42"/>
  <c r="E258" i="42"/>
  <c r="F258" i="42"/>
  <c r="C259" i="42"/>
  <c r="D259" i="42"/>
  <c r="E259" i="42"/>
  <c r="F259" i="42"/>
  <c r="C260" i="42"/>
  <c r="E260" i="42"/>
  <c r="F260" i="42"/>
  <c r="F266" i="42"/>
  <c r="F267" i="42"/>
  <c r="F268" i="42"/>
  <c r="F269" i="42"/>
  <c r="F270" i="42"/>
  <c r="F271" i="42"/>
  <c r="F272" i="42"/>
  <c r="F273" i="42"/>
  <c r="F274" i="42"/>
  <c r="F275" i="42"/>
  <c r="F276" i="42"/>
  <c r="F277" i="42"/>
  <c r="F278" i="42"/>
  <c r="C282" i="42"/>
  <c r="F282" i="42"/>
  <c r="C283" i="42"/>
  <c r="C284" i="42"/>
  <c r="F284" i="42"/>
  <c r="C285" i="42"/>
  <c r="F285" i="42"/>
  <c r="C286" i="42"/>
  <c r="F286" i="42"/>
  <c r="C287" i="42"/>
  <c r="F287" i="42"/>
  <c r="C288" i="42"/>
  <c r="F288" i="42"/>
  <c r="C289" i="42"/>
  <c r="F289" i="42"/>
  <c r="C290" i="42"/>
  <c r="F290" i="42"/>
  <c r="C291" i="42"/>
  <c r="F291" i="42"/>
  <c r="C292" i="42"/>
  <c r="J11" i="41"/>
  <c r="L17" i="41"/>
  <c r="M17" i="41"/>
  <c r="N17" i="41"/>
  <c r="O17" i="41"/>
  <c r="P17" i="41"/>
  <c r="L18" i="41"/>
  <c r="M18" i="41"/>
  <c r="N18" i="41"/>
  <c r="O18" i="41"/>
  <c r="P18" i="41"/>
  <c r="L19" i="41"/>
  <c r="M19" i="41"/>
  <c r="N19" i="41"/>
  <c r="O19" i="41"/>
  <c r="P19" i="41"/>
  <c r="L20" i="41"/>
  <c r="S20" i="41"/>
  <c r="L21" i="41"/>
  <c r="S21" i="41" s="1"/>
  <c r="S22" i="41" s="1"/>
  <c r="M20" i="41"/>
  <c r="T20" i="41" s="1"/>
  <c r="N20" i="41"/>
  <c r="U20" i="41" s="1"/>
  <c r="O20" i="41"/>
  <c r="V20" i="41" s="1"/>
  <c r="V22" i="41" s="1"/>
  <c r="P20" i="41"/>
  <c r="W20" i="41" s="1"/>
  <c r="O21" i="41"/>
  <c r="V21" i="41"/>
  <c r="M21" i="41"/>
  <c r="T21" i="41" s="1"/>
  <c r="T22" i="41" s="1"/>
  <c r="N21" i="41"/>
  <c r="U21" i="41" s="1"/>
  <c r="U22" i="41" s="1"/>
  <c r="P21" i="41"/>
  <c r="W21" i="41"/>
  <c r="W22" i="41" s="1"/>
  <c r="L24" i="41"/>
  <c r="O29" i="36" s="1"/>
  <c r="P29" i="36" s="1"/>
  <c r="M24" i="41"/>
  <c r="O32" i="36" s="1"/>
  <c r="P32" i="36" s="1"/>
  <c r="N24" i="41"/>
  <c r="O24" i="41"/>
  <c r="P24" i="41"/>
  <c r="L25" i="41"/>
  <c r="M25" i="41"/>
  <c r="N25" i="41"/>
  <c r="O25" i="41"/>
  <c r="P25" i="41"/>
  <c r="L26" i="41"/>
  <c r="M26" i="41"/>
  <c r="N26" i="41"/>
  <c r="O26" i="41"/>
  <c r="P26" i="41"/>
  <c r="L29" i="41"/>
  <c r="M29" i="41"/>
  <c r="N29" i="41"/>
  <c r="O29" i="41"/>
  <c r="P29" i="41"/>
  <c r="L30" i="41"/>
  <c r="Q29" i="36" s="1"/>
  <c r="M30" i="41"/>
  <c r="N30" i="41"/>
  <c r="O30" i="41"/>
  <c r="P30" i="41"/>
  <c r="J41" i="41"/>
  <c r="L47" i="41"/>
  <c r="M47" i="41"/>
  <c r="N47" i="41"/>
  <c r="O47" i="41"/>
  <c r="P47" i="41"/>
  <c r="L48" i="41"/>
  <c r="M48" i="41"/>
  <c r="N48" i="41"/>
  <c r="O48" i="41"/>
  <c r="P48" i="41"/>
  <c r="L49" i="41"/>
  <c r="M49" i="41"/>
  <c r="N49" i="41"/>
  <c r="O49" i="41"/>
  <c r="P49" i="41"/>
  <c r="L50" i="41"/>
  <c r="S50" i="41" s="1"/>
  <c r="M50" i="41"/>
  <c r="N50" i="41"/>
  <c r="U50" i="41"/>
  <c r="N51" i="41"/>
  <c r="U51" i="41"/>
  <c r="U52" i="41" s="1"/>
  <c r="O50" i="41"/>
  <c r="P50" i="41"/>
  <c r="W50" i="41" s="1"/>
  <c r="W52" i="41" s="1"/>
  <c r="T50" i="41"/>
  <c r="V50" i="41"/>
  <c r="L51" i="41"/>
  <c r="J5" i="36" s="1"/>
  <c r="M51" i="41"/>
  <c r="O51" i="41"/>
  <c r="V51" i="41" s="1"/>
  <c r="V52" i="41" s="1"/>
  <c r="P51" i="41"/>
  <c r="J46" i="36"/>
  <c r="L54" i="41"/>
  <c r="O106" i="36" s="1"/>
  <c r="P106" i="36" s="1"/>
  <c r="M54" i="41"/>
  <c r="O99" i="36" s="1"/>
  <c r="P99" i="36" s="1"/>
  <c r="N54" i="41"/>
  <c r="O21" i="36" s="1"/>
  <c r="P21" i="36" s="1"/>
  <c r="O54" i="41"/>
  <c r="P54" i="41"/>
  <c r="M55" i="41"/>
  <c r="N55" i="41"/>
  <c r="O55" i="41"/>
  <c r="P55" i="41"/>
  <c r="L56" i="41"/>
  <c r="M56" i="41"/>
  <c r="N56" i="41"/>
  <c r="O56" i="41"/>
  <c r="P56" i="41"/>
  <c r="L59" i="41"/>
  <c r="M59" i="41"/>
  <c r="N59" i="41"/>
  <c r="O59" i="41"/>
  <c r="P59" i="41"/>
  <c r="L60" i="41"/>
  <c r="Q41" i="36" s="1"/>
  <c r="M60" i="41"/>
  <c r="Q44" i="36"/>
  <c r="N60" i="41"/>
  <c r="O60" i="41"/>
  <c r="P60" i="41"/>
  <c r="Q71" i="36" s="1"/>
  <c r="J71" i="41"/>
  <c r="L77" i="41"/>
  <c r="M77" i="41"/>
  <c r="N77" i="41"/>
  <c r="O77" i="41"/>
  <c r="P77" i="41"/>
  <c r="L78" i="41"/>
  <c r="M78" i="41"/>
  <c r="N78" i="41"/>
  <c r="O78" i="41"/>
  <c r="P78" i="41"/>
  <c r="L79" i="41"/>
  <c r="M79" i="41"/>
  <c r="N79" i="41"/>
  <c r="O79" i="41"/>
  <c r="P79" i="41"/>
  <c r="L80" i="41"/>
  <c r="M80" i="41"/>
  <c r="N80" i="41"/>
  <c r="O80" i="41"/>
  <c r="P80" i="41"/>
  <c r="L81" i="41"/>
  <c r="M81" i="41"/>
  <c r="N81" i="41"/>
  <c r="O81" i="41"/>
  <c r="P81" i="41"/>
  <c r="L84" i="41"/>
  <c r="M84" i="41"/>
  <c r="N84" i="41"/>
  <c r="O84" i="41"/>
  <c r="P84" i="41"/>
  <c r="L85" i="41"/>
  <c r="M85" i="41"/>
  <c r="N85" i="41"/>
  <c r="O85" i="41"/>
  <c r="P85" i="41"/>
  <c r="L86" i="41"/>
  <c r="M86" i="41"/>
  <c r="N86" i="41"/>
  <c r="O86" i="41"/>
  <c r="P86" i="41"/>
  <c r="L89" i="41"/>
  <c r="M89" i="41"/>
  <c r="N89" i="41"/>
  <c r="O89" i="41"/>
  <c r="P89" i="41"/>
  <c r="L90" i="41"/>
  <c r="M90" i="41"/>
  <c r="N90" i="41"/>
  <c r="O90" i="41"/>
  <c r="P90" i="41"/>
  <c r="J101" i="41"/>
  <c r="L107" i="41"/>
  <c r="M107" i="41"/>
  <c r="N107" i="41"/>
  <c r="O107" i="41"/>
  <c r="P107" i="41"/>
  <c r="L108" i="41"/>
  <c r="M108" i="41"/>
  <c r="N108" i="41"/>
  <c r="O108" i="41"/>
  <c r="P108" i="41"/>
  <c r="L109" i="41"/>
  <c r="M109" i="41"/>
  <c r="N109" i="41"/>
  <c r="O109" i="41"/>
  <c r="P109" i="41"/>
  <c r="L110" i="41"/>
  <c r="M110" i="41"/>
  <c r="T110" i="41"/>
  <c r="M111" i="41"/>
  <c r="J14" i="36" s="1"/>
  <c r="N110" i="41"/>
  <c r="O110" i="41"/>
  <c r="V110" i="41" s="1"/>
  <c r="P110" i="41"/>
  <c r="W110" i="41" s="1"/>
  <c r="S110" i="41"/>
  <c r="L111" i="41"/>
  <c r="S111" i="41" s="1"/>
  <c r="S112" i="41" s="1"/>
  <c r="U110" i="41"/>
  <c r="P111" i="41"/>
  <c r="J16" i="36" s="1"/>
  <c r="N111" i="41"/>
  <c r="J39" i="36" s="1"/>
  <c r="O111" i="41"/>
  <c r="V111" i="41" s="1"/>
  <c r="V112" i="41" s="1"/>
  <c r="U111" i="41"/>
  <c r="U112" i="41" s="1"/>
  <c r="L114" i="41"/>
  <c r="O59" i="36" s="1"/>
  <c r="P59" i="36" s="1"/>
  <c r="M114" i="41"/>
  <c r="O145" i="36" s="1"/>
  <c r="P145" i="36" s="1"/>
  <c r="N114" i="41"/>
  <c r="O114" i="41"/>
  <c r="P114" i="41"/>
  <c r="O149" i="36" s="1"/>
  <c r="P149" i="36" s="1"/>
  <c r="O16" i="36"/>
  <c r="P16" i="36"/>
  <c r="L115" i="41"/>
  <c r="M115" i="41"/>
  <c r="N115" i="41"/>
  <c r="O115" i="41"/>
  <c r="P115" i="41"/>
  <c r="L116" i="41"/>
  <c r="M116" i="41"/>
  <c r="N116" i="41"/>
  <c r="O116" i="41"/>
  <c r="P116" i="41"/>
  <c r="L119" i="41"/>
  <c r="M119" i="41"/>
  <c r="N119" i="41"/>
  <c r="O119" i="41"/>
  <c r="P119" i="41"/>
  <c r="L120" i="41"/>
  <c r="Q15" i="36" s="1"/>
  <c r="M120" i="41"/>
  <c r="Q145" i="36" s="1"/>
  <c r="N120" i="41"/>
  <c r="O120" i="41"/>
  <c r="P120" i="41"/>
  <c r="Q131" i="36" s="1"/>
  <c r="J132" i="41"/>
  <c r="L138" i="41"/>
  <c r="M138" i="41"/>
  <c r="N138" i="41"/>
  <c r="O138" i="41"/>
  <c r="P138" i="41"/>
  <c r="L139" i="41"/>
  <c r="M139" i="41"/>
  <c r="N139" i="41"/>
  <c r="O139" i="41"/>
  <c r="P139" i="41"/>
  <c r="L140" i="41"/>
  <c r="M140" i="41"/>
  <c r="N140" i="41"/>
  <c r="O140" i="41"/>
  <c r="P140" i="41"/>
  <c r="L141" i="41"/>
  <c r="M141" i="41"/>
  <c r="N141" i="41"/>
  <c r="O141" i="41"/>
  <c r="P141" i="41"/>
  <c r="L142" i="41"/>
  <c r="M142" i="41"/>
  <c r="N142" i="41"/>
  <c r="O142" i="41"/>
  <c r="P142" i="41"/>
  <c r="L145" i="41"/>
  <c r="M145" i="41"/>
  <c r="N145" i="41"/>
  <c r="O145" i="41"/>
  <c r="P145" i="41"/>
  <c r="L146" i="41"/>
  <c r="M146" i="41"/>
  <c r="N146" i="41"/>
  <c r="O146" i="41"/>
  <c r="P146" i="41"/>
  <c r="L147" i="41"/>
  <c r="M147" i="41"/>
  <c r="N147" i="41"/>
  <c r="O147" i="41"/>
  <c r="P147" i="41"/>
  <c r="L150" i="41"/>
  <c r="M150" i="41"/>
  <c r="N150" i="41"/>
  <c r="O150" i="41"/>
  <c r="P150" i="41"/>
  <c r="L151" i="41"/>
  <c r="M151" i="41"/>
  <c r="N151" i="41"/>
  <c r="O151" i="41"/>
  <c r="P151" i="41"/>
  <c r="J162" i="41"/>
  <c r="L168" i="41"/>
  <c r="M168" i="41"/>
  <c r="N168" i="41"/>
  <c r="O168" i="41"/>
  <c r="P168" i="41"/>
  <c r="L169" i="41"/>
  <c r="M169" i="41"/>
  <c r="N169" i="41"/>
  <c r="O169" i="41"/>
  <c r="P169" i="41"/>
  <c r="L170" i="41"/>
  <c r="M170" i="41"/>
  <c r="N170" i="41"/>
  <c r="O170" i="41"/>
  <c r="P170" i="41"/>
  <c r="L171" i="41"/>
  <c r="S171" i="41"/>
  <c r="L172" i="41"/>
  <c r="S172" i="41" s="1"/>
  <c r="S173" i="41" s="1"/>
  <c r="M171" i="41"/>
  <c r="T171" i="41" s="1"/>
  <c r="N171" i="41"/>
  <c r="O171" i="41"/>
  <c r="P171" i="41"/>
  <c r="W171" i="41" s="1"/>
  <c r="W173" i="41" s="1"/>
  <c r="P172" i="41"/>
  <c r="W172" i="41"/>
  <c r="U171" i="41"/>
  <c r="V171" i="41"/>
  <c r="O172" i="41"/>
  <c r="V172" i="41"/>
  <c r="V173" i="41" s="1"/>
  <c r="M172" i="41"/>
  <c r="N172" i="41"/>
  <c r="U172" i="41"/>
  <c r="U173" i="41"/>
  <c r="T172" i="41"/>
  <c r="L175" i="41"/>
  <c r="M175" i="41"/>
  <c r="N175" i="41"/>
  <c r="O175" i="41"/>
  <c r="P175" i="41"/>
  <c r="L176" i="41"/>
  <c r="M176" i="41"/>
  <c r="N176" i="41"/>
  <c r="O176" i="41"/>
  <c r="P176" i="41"/>
  <c r="L177" i="41"/>
  <c r="M177" i="41"/>
  <c r="N177" i="41"/>
  <c r="O177" i="41"/>
  <c r="P177" i="41"/>
  <c r="L180" i="41"/>
  <c r="M180" i="41"/>
  <c r="N180" i="41"/>
  <c r="O180" i="41"/>
  <c r="P180" i="41"/>
  <c r="L181" i="41"/>
  <c r="M181" i="41"/>
  <c r="N181" i="41"/>
  <c r="O181" i="41"/>
  <c r="P181" i="41"/>
  <c r="Q5" i="36"/>
  <c r="AQ5" i="36"/>
  <c r="AS5" i="36" s="1"/>
  <c r="K7" i="36"/>
  <c r="AQ8" i="36"/>
  <c r="AS8" i="36" s="1"/>
  <c r="J9" i="36"/>
  <c r="O9" i="36"/>
  <c r="P9" i="36" s="1"/>
  <c r="Q9" i="36"/>
  <c r="AQ9" i="36"/>
  <c r="AS9" i="36" s="1"/>
  <c r="AQ10" i="36"/>
  <c r="AS10" i="36" s="1"/>
  <c r="AQ11" i="36"/>
  <c r="AS11" i="36" s="1"/>
  <c r="K13" i="36"/>
  <c r="AQ14" i="36"/>
  <c r="AS14" i="36" s="1"/>
  <c r="J15" i="36"/>
  <c r="AQ15" i="36"/>
  <c r="AS15" i="36" s="1"/>
  <c r="O15" i="36"/>
  <c r="P15" i="36" s="1"/>
  <c r="AQ16" i="36"/>
  <c r="AS16" i="36" s="1"/>
  <c r="O17" i="36"/>
  <c r="P17" i="36" s="1"/>
  <c r="Q17" i="36"/>
  <c r="AQ17" i="36"/>
  <c r="AS17" i="36"/>
  <c r="K19" i="36"/>
  <c r="AQ20" i="36"/>
  <c r="AS20" i="36" s="1"/>
  <c r="J21" i="36"/>
  <c r="Q21" i="36"/>
  <c r="AQ21" i="36"/>
  <c r="AS21" i="36" s="1"/>
  <c r="J22" i="36"/>
  <c r="AQ22" i="36"/>
  <c r="AS22" i="36" s="1"/>
  <c r="J23" i="36"/>
  <c r="AQ23" i="36"/>
  <c r="AS23" i="36" s="1"/>
  <c r="K25" i="36"/>
  <c r="O26" i="36"/>
  <c r="P26" i="36"/>
  <c r="AQ26" i="36"/>
  <c r="AS26" i="36" s="1"/>
  <c r="J27" i="36"/>
  <c r="O27" i="36"/>
  <c r="P27" i="36"/>
  <c r="AQ27" i="36"/>
  <c r="AS27" i="36" s="1"/>
  <c r="Q28" i="36"/>
  <c r="AQ28" i="36"/>
  <c r="AS28" i="36" s="1"/>
  <c r="J29" i="36"/>
  <c r="AS29" i="36"/>
  <c r="K31" i="36"/>
  <c r="Q32" i="36"/>
  <c r="AS32" i="36"/>
  <c r="O33" i="36"/>
  <c r="P33" i="36" s="1"/>
  <c r="Q33" i="36"/>
  <c r="AS33" i="36"/>
  <c r="J34" i="36"/>
  <c r="O34" i="36"/>
  <c r="P34" i="36" s="1"/>
  <c r="Q34" i="36"/>
  <c r="AS34" i="36"/>
  <c r="J35" i="36"/>
  <c r="AS35" i="36"/>
  <c r="K37" i="36"/>
  <c r="O38" i="36"/>
  <c r="P38" i="36" s="1"/>
  <c r="AS38" i="36"/>
  <c r="O39" i="36"/>
  <c r="P39" i="36" s="1"/>
  <c r="AS39" i="36"/>
  <c r="J40" i="36"/>
  <c r="AS40" i="36"/>
  <c r="O41" i="36"/>
  <c r="P41" i="36" s="1"/>
  <c r="AS41" i="36"/>
  <c r="K43" i="36"/>
  <c r="AS44" i="36"/>
  <c r="J45" i="36"/>
  <c r="Q45" i="36"/>
  <c r="AS45" i="36"/>
  <c r="O46" i="36"/>
  <c r="P46" i="36" s="1"/>
  <c r="Q46" i="36"/>
  <c r="AS46" i="36"/>
  <c r="O47" i="36"/>
  <c r="P47" i="36" s="1"/>
  <c r="Q47" i="36"/>
  <c r="AS47" i="36"/>
  <c r="K49" i="36"/>
  <c r="AS50" i="36"/>
  <c r="J51" i="36"/>
  <c r="O51" i="36"/>
  <c r="P51" i="36" s="1"/>
  <c r="Q51" i="36"/>
  <c r="AS51" i="36"/>
  <c r="J52" i="36"/>
  <c r="O52" i="36"/>
  <c r="P52" i="36" s="1"/>
  <c r="AS52" i="36"/>
  <c r="AS53" i="36"/>
  <c r="K55" i="36"/>
  <c r="J56" i="36"/>
  <c r="O56" i="36"/>
  <c r="P56" i="36" s="1"/>
  <c r="AS56" i="36"/>
  <c r="J57" i="36"/>
  <c r="O57" i="36"/>
  <c r="P57" i="36" s="1"/>
  <c r="AS57" i="36"/>
  <c r="J58" i="36"/>
  <c r="AS58" i="36"/>
  <c r="J59" i="36"/>
  <c r="AS59" i="36"/>
  <c r="K61" i="36"/>
  <c r="O62" i="36"/>
  <c r="AS62" i="36"/>
  <c r="O63" i="36"/>
  <c r="AS63" i="36"/>
  <c r="J64" i="36"/>
  <c r="AS64" i="36"/>
  <c r="O65" i="36"/>
  <c r="AP65" i="36"/>
  <c r="AS65" i="36"/>
  <c r="O69" i="36"/>
  <c r="P69" i="36" s="1"/>
  <c r="J70" i="36"/>
  <c r="O70" i="36"/>
  <c r="P70" i="36" s="1"/>
  <c r="Q70" i="36"/>
  <c r="AP70" i="36"/>
  <c r="AS70" i="36" s="1"/>
  <c r="J71" i="36"/>
  <c r="AP71" i="36"/>
  <c r="AS71" i="36" s="1"/>
  <c r="AP72" i="36"/>
  <c r="AS72" i="36" s="1"/>
  <c r="O76" i="36"/>
  <c r="P76" i="36" s="1"/>
  <c r="AP76" i="36"/>
  <c r="AS76" i="36" s="1"/>
  <c r="O77" i="36"/>
  <c r="P77" i="36" s="1"/>
  <c r="Q77" i="36"/>
  <c r="AP77" i="36"/>
  <c r="AS77" i="36" s="1"/>
  <c r="Q78" i="36"/>
  <c r="AP78" i="36"/>
  <c r="AS78" i="36" s="1"/>
  <c r="K81" i="36"/>
  <c r="O82" i="36"/>
  <c r="P82" i="36" s="1"/>
  <c r="Q84" i="36"/>
  <c r="O86" i="36"/>
  <c r="P86" i="36" s="1"/>
  <c r="Q86" i="36"/>
  <c r="O88" i="36"/>
  <c r="P88" i="36" s="1"/>
  <c r="Q88" i="36"/>
  <c r="Q93" i="36"/>
  <c r="Q95" i="36"/>
  <c r="P97" i="36"/>
  <c r="Q97" i="36"/>
  <c r="K99" i="36"/>
  <c r="Q102" i="36"/>
  <c r="O104" i="36"/>
  <c r="P104" i="36" s="1"/>
  <c r="Q104" i="36"/>
  <c r="K108" i="36"/>
  <c r="O111" i="36"/>
  <c r="P111" i="36" s="1"/>
  <c r="Q111" i="36"/>
  <c r="K117" i="36"/>
  <c r="Q118" i="36"/>
  <c r="O120" i="36"/>
  <c r="P120" i="36" s="1"/>
  <c r="Q120" i="36"/>
  <c r="K126" i="36"/>
  <c r="O129" i="36"/>
  <c r="P129" i="36" s="1"/>
  <c r="Q129" i="36"/>
  <c r="K135" i="36"/>
  <c r="O136" i="36"/>
  <c r="P136" i="36" s="1"/>
  <c r="Q136" i="36"/>
  <c r="O138" i="36"/>
  <c r="P138" i="36" s="1"/>
  <c r="Q138" i="36"/>
  <c r="I139" i="36"/>
  <c r="K144" i="36"/>
  <c r="O147" i="36"/>
  <c r="P147" i="36" s="1"/>
  <c r="Q147" i="36"/>
  <c r="Q14" i="36"/>
  <c r="Q11" i="36"/>
  <c r="Q23" i="36"/>
  <c r="O23" i="36"/>
  <c r="P23" i="36" s="1"/>
  <c r="AC111" i="42"/>
  <c r="AM81" i="42"/>
  <c r="H229" i="42"/>
  <c r="Q140" i="36"/>
  <c r="Q124" i="36"/>
  <c r="Q122" i="36"/>
  <c r="O91" i="36"/>
  <c r="P91" i="36" s="1"/>
  <c r="Q57" i="36"/>
  <c r="Q56" i="36"/>
  <c r="O53" i="36"/>
  <c r="P53" i="36" s="1"/>
  <c r="O40" i="36"/>
  <c r="P40" i="36" s="1"/>
  <c r="Q35" i="36"/>
  <c r="Q27" i="36"/>
  <c r="F283" i="42"/>
  <c r="O28" i="36"/>
  <c r="P28" i="36" s="1"/>
  <c r="Q26" i="36"/>
  <c r="O8" i="36"/>
  <c r="P8" i="36" s="1"/>
  <c r="Q149" i="36"/>
  <c r="O142" i="36"/>
  <c r="P142" i="36" s="1"/>
  <c r="O140" i="36"/>
  <c r="P140" i="36" s="1"/>
  <c r="Q133" i="36"/>
  <c r="Q64" i="36"/>
  <c r="Q63" i="36"/>
  <c r="O58" i="36"/>
  <c r="P58" i="36" s="1"/>
  <c r="Q53" i="36"/>
  <c r="Q40" i="36"/>
  <c r="Q39" i="36"/>
  <c r="Q38" i="36"/>
  <c r="O35" i="36"/>
  <c r="P35" i="36" s="1"/>
  <c r="Q16" i="36"/>
  <c r="W51" i="41"/>
  <c r="J10" i="36"/>
  <c r="J17" i="36"/>
  <c r="H226" i="42"/>
  <c r="AC108" i="42"/>
  <c r="AN81" i="42" s="1"/>
  <c r="E147" i="42"/>
  <c r="AF85" i="42"/>
  <c r="AC86" i="42"/>
  <c r="AO77" i="42" s="1"/>
  <c r="AC85" i="42"/>
  <c r="AL77" i="42" s="1"/>
  <c r="C146" i="42"/>
  <c r="C147" i="42"/>
  <c r="AE86" i="42"/>
  <c r="AR77" i="42"/>
  <c r="E148" i="42"/>
  <c r="AE87" i="42"/>
  <c r="AE84" i="42"/>
  <c r="AQ77" i="42" s="1"/>
  <c r="AE95" i="42"/>
  <c r="AE96" i="42"/>
  <c r="AQ79" i="42" s="1"/>
  <c r="AE97" i="42"/>
  <c r="AE98" i="42"/>
  <c r="AE99" i="42"/>
  <c r="AE100" i="42"/>
  <c r="AE101" i="42"/>
  <c r="AE103" i="42"/>
  <c r="AE104" i="42"/>
  <c r="AR80" i="42" s="1"/>
  <c r="AE105" i="42"/>
  <c r="C148" i="42"/>
  <c r="H57" i="42"/>
  <c r="I90" i="42"/>
  <c r="I84" i="42"/>
  <c r="H51" i="42"/>
  <c r="AN76" i="42"/>
  <c r="I196" i="42"/>
  <c r="AF100" i="42"/>
  <c r="F188" i="42"/>
  <c r="H53" i="42"/>
  <c r="I86" i="42"/>
  <c r="S80" i="42" s="1"/>
  <c r="G56" i="42"/>
  <c r="H89" i="42"/>
  <c r="AF104" i="42"/>
  <c r="AC103" i="42"/>
  <c r="AL80" i="42" s="1"/>
  <c r="AC99" i="42"/>
  <c r="AM79" i="42"/>
  <c r="AC98" i="42"/>
  <c r="AO79" i="42"/>
  <c r="AC96" i="42"/>
  <c r="AN79" i="42" s="1"/>
  <c r="I88" i="42"/>
  <c r="I55" i="42" s="1"/>
  <c r="AC84" i="42"/>
  <c r="AN77" i="42" s="1"/>
  <c r="E188" i="42"/>
  <c r="E187" i="42"/>
  <c r="E186" i="42"/>
  <c r="E185" i="42"/>
  <c r="E184" i="42"/>
  <c r="E183" i="42"/>
  <c r="AC106" i="42"/>
  <c r="AP80" i="42"/>
  <c r="AD105" i="42"/>
  <c r="AF103" i="42"/>
  <c r="AC102" i="42"/>
  <c r="AN80" i="42" s="1"/>
  <c r="AD101" i="42"/>
  <c r="AS79" i="42"/>
  <c r="AF99" i="42"/>
  <c r="AF98" i="42"/>
  <c r="AD97" i="42"/>
  <c r="AD95" i="42"/>
  <c r="AF84" i="42"/>
  <c r="AC83" i="42"/>
  <c r="AK77" i="42"/>
  <c r="D187" i="42"/>
  <c r="D185" i="42"/>
  <c r="D183" i="42"/>
  <c r="E144" i="42"/>
  <c r="AC105" i="42"/>
  <c r="AM80" i="42" s="1"/>
  <c r="AR79" i="42"/>
  <c r="AC97" i="42"/>
  <c r="AL79" i="42" s="1"/>
  <c r="F169" i="42"/>
  <c r="I214" i="42"/>
  <c r="I220" i="42" s="1"/>
  <c r="I243" i="42" s="1"/>
  <c r="I245" i="42" s="1"/>
  <c r="I51" i="42"/>
  <c r="I161" i="42"/>
  <c r="I180" i="42"/>
  <c r="I198" i="42" s="1"/>
  <c r="H56" i="42"/>
  <c r="I89" i="42"/>
  <c r="I56" i="42"/>
  <c r="H45" i="42"/>
  <c r="I78" i="42"/>
  <c r="F139" i="42"/>
  <c r="AF80" i="42"/>
  <c r="I155" i="42"/>
  <c r="I45" i="42"/>
  <c r="AD84" i="42"/>
  <c r="D145" i="42"/>
  <c r="AA71" i="34"/>
  <c r="AA72" i="34" s="1"/>
  <c r="Y71" i="34"/>
  <c r="Y72" i="34" s="1"/>
  <c r="Y74" i="34" s="1"/>
  <c r="Y75" i="34" s="1"/>
  <c r="AA61" i="34"/>
  <c r="AA62" i="34"/>
  <c r="AA54" i="34"/>
  <c r="Y54" i="34"/>
  <c r="AA48" i="34"/>
  <c r="AA49" i="34" s="1"/>
  <c r="Y48" i="34"/>
  <c r="Y57" i="34" s="1"/>
  <c r="AA44" i="34"/>
  <c r="C10" i="34"/>
  <c r="A10" i="34" s="1"/>
  <c r="C69" i="13" s="1"/>
  <c r="AA47" i="34"/>
  <c r="Y47" i="34"/>
  <c r="C9" i="34"/>
  <c r="A9" i="34" s="1"/>
  <c r="C68" i="13" s="1"/>
  <c r="C8" i="34"/>
  <c r="A8" i="34" s="1"/>
  <c r="C67" i="13" s="1"/>
  <c r="C7" i="34"/>
  <c r="A7" i="34" s="1"/>
  <c r="C66" i="13" s="1"/>
  <c r="C6" i="34"/>
  <c r="A6" i="34" s="1"/>
  <c r="C65" i="13" s="1"/>
  <c r="R34" i="34"/>
  <c r="Q34" i="34"/>
  <c r="C5" i="34"/>
  <c r="A5" i="34" s="1"/>
  <c r="C64" i="13" s="1"/>
  <c r="R73" i="35"/>
  <c r="R56" i="35"/>
  <c r="S41" i="35"/>
  <c r="D69" i="13"/>
  <c r="D68" i="13"/>
  <c r="D67" i="13"/>
  <c r="D66" i="13"/>
  <c r="D65" i="13"/>
  <c r="D64" i="13"/>
  <c r="M37" i="13"/>
  <c r="D53" i="13" s="1"/>
  <c r="B26" i="35" s="1"/>
  <c r="M36" i="13"/>
  <c r="C52" i="13" s="1"/>
  <c r="A23" i="35" s="1"/>
  <c r="D23" i="35" s="1"/>
  <c r="M35" i="13"/>
  <c r="M32" i="13"/>
  <c r="M42" i="13" s="1"/>
  <c r="D58" i="13" s="1"/>
  <c r="B41" i="35" s="1"/>
  <c r="M31" i="13"/>
  <c r="D47" i="13" s="1"/>
  <c r="B11" i="35" s="1"/>
  <c r="M30" i="13"/>
  <c r="D46" i="13" s="1"/>
  <c r="B8" i="35" s="1"/>
  <c r="D25" i="13"/>
  <c r="C25" i="13"/>
  <c r="D24" i="13"/>
  <c r="C24" i="13"/>
  <c r="D23" i="13"/>
  <c r="C23" i="13"/>
  <c r="D22" i="13"/>
  <c r="C22" i="13"/>
  <c r="D21" i="13"/>
  <c r="C21" i="13"/>
  <c r="D20" i="13"/>
  <c r="C20" i="13"/>
  <c r="D19" i="13"/>
  <c r="C19" i="13"/>
  <c r="D18" i="13"/>
  <c r="C18" i="13"/>
  <c r="D17" i="13"/>
  <c r="C17" i="13"/>
  <c r="D16" i="13"/>
  <c r="C16" i="13"/>
  <c r="D15" i="13"/>
  <c r="C15" i="13"/>
  <c r="D14" i="13"/>
  <c r="C14" i="13"/>
  <c r="D13" i="13"/>
  <c r="C13" i="13"/>
  <c r="D12" i="13"/>
  <c r="C12" i="13"/>
  <c r="D11" i="13"/>
  <c r="C11" i="13"/>
  <c r="D10" i="13"/>
  <c r="C10" i="13"/>
  <c r="D9" i="13"/>
  <c r="C9" i="13"/>
  <c r="D8" i="13"/>
  <c r="C8" i="13"/>
  <c r="D7" i="13"/>
  <c r="C7" i="13"/>
  <c r="D6" i="13"/>
  <c r="D11" i="12"/>
  <c r="D10" i="12"/>
  <c r="D9" i="12"/>
  <c r="D8" i="12"/>
  <c r="D7" i="12"/>
  <c r="D6" i="12"/>
  <c r="D5" i="12"/>
  <c r="D4" i="11"/>
  <c r="D5" i="11"/>
  <c r="R60" i="35" l="1"/>
  <c r="K17" i="35"/>
  <c r="K29" i="35"/>
  <c r="P29" i="35" s="1"/>
  <c r="M44" i="35"/>
  <c r="P44" i="35" s="1"/>
  <c r="M56" i="35"/>
  <c r="P56" i="35" s="1"/>
  <c r="AT10" i="36"/>
  <c r="AV10" i="36" s="1"/>
  <c r="AT5" i="36"/>
  <c r="AV5" i="36" s="1"/>
  <c r="AT51" i="36"/>
  <c r="AV51" i="36" s="1"/>
  <c r="L51" i="36" s="1"/>
  <c r="D50" i="13"/>
  <c r="C50" i="13"/>
  <c r="D51" i="13"/>
  <c r="B20" i="35" s="1"/>
  <c r="AA40" i="34"/>
  <c r="D45" i="13"/>
  <c r="B5" i="35" s="1"/>
  <c r="C51" i="13"/>
  <c r="A20" i="35" s="1"/>
  <c r="D20" i="35" s="1"/>
  <c r="K20" i="35" s="1"/>
  <c r="L20" i="35" s="1"/>
  <c r="M44" i="13"/>
  <c r="C60" i="13" s="1"/>
  <c r="A47" i="35" s="1"/>
  <c r="D47" i="35" s="1"/>
  <c r="C45" i="13"/>
  <c r="A5" i="35" s="1"/>
  <c r="D5" i="35" s="1"/>
  <c r="K5" i="35" s="1"/>
  <c r="L5" i="35" s="1"/>
  <c r="C46" i="13"/>
  <c r="A8" i="35" s="1"/>
  <c r="D8" i="35" s="1"/>
  <c r="K8" i="35" s="1"/>
  <c r="P8" i="35" s="1"/>
  <c r="M40" i="13"/>
  <c r="M41" i="13"/>
  <c r="D57" i="13" s="1"/>
  <c r="B38" i="35" s="1"/>
  <c r="C48" i="13"/>
  <c r="A14" i="35" s="1"/>
  <c r="D14" i="35" s="1"/>
  <c r="K14" i="35" s="1"/>
  <c r="P14" i="35" s="1"/>
  <c r="D52" i="13"/>
  <c r="B23" i="35" s="1"/>
  <c r="M46" i="13"/>
  <c r="D62" i="13" s="1"/>
  <c r="B53" i="35" s="1"/>
  <c r="D48" i="13"/>
  <c r="B14" i="35" s="1"/>
  <c r="Y40" i="34"/>
  <c r="Y41" i="34"/>
  <c r="Y42" i="34" s="1"/>
  <c r="Y46" i="34"/>
  <c r="AA56" i="34"/>
  <c r="AA51" i="34"/>
  <c r="AA52" i="34" s="1"/>
  <c r="AA57" i="34"/>
  <c r="Y49" i="34"/>
  <c r="Y56" i="34" s="1"/>
  <c r="AA41" i="34"/>
  <c r="AA42" i="34" s="1"/>
  <c r="AA64" i="34"/>
  <c r="AA65" i="34" s="1"/>
  <c r="AA74" i="34"/>
  <c r="AA75" i="34" s="1"/>
  <c r="R65" i="35"/>
  <c r="R69" i="35" s="1"/>
  <c r="R64" i="35"/>
  <c r="R68" i="35" s="1"/>
  <c r="K23" i="35"/>
  <c r="P23" i="35" s="1"/>
  <c r="C58" i="13"/>
  <c r="A41" i="35" s="1"/>
  <c r="D41" i="35" s="1"/>
  <c r="C53" i="13"/>
  <c r="A26" i="35" s="1"/>
  <c r="D26" i="35" s="1"/>
  <c r="K26" i="35" s="1"/>
  <c r="AT45" i="36"/>
  <c r="AV45" i="36" s="1"/>
  <c r="L45" i="36" s="1"/>
  <c r="AT57" i="36"/>
  <c r="AV57" i="36" s="1"/>
  <c r="L57" i="36" s="1"/>
  <c r="AT56" i="36"/>
  <c r="AV56" i="36" s="1"/>
  <c r="L56" i="36" s="1"/>
  <c r="AT40" i="36"/>
  <c r="AV40" i="36" s="1"/>
  <c r="AT9" i="36"/>
  <c r="AT52" i="36"/>
  <c r="AV52" i="36" s="1"/>
  <c r="L52" i="36" s="1"/>
  <c r="AT39" i="36"/>
  <c r="M39" i="36" s="1"/>
  <c r="AT21" i="36"/>
  <c r="M21" i="36" s="1"/>
  <c r="AT14" i="36"/>
  <c r="AV14" i="36" s="1"/>
  <c r="AT58" i="36"/>
  <c r="AV58" i="36" s="1"/>
  <c r="L58" i="36" s="1"/>
  <c r="AT29" i="36"/>
  <c r="AV29" i="36" s="1"/>
  <c r="AT16" i="36"/>
  <c r="M16" i="36" s="1"/>
  <c r="I134" i="36"/>
  <c r="I143" i="36"/>
  <c r="I116" i="36"/>
  <c r="I125" i="36"/>
  <c r="F147" i="42"/>
  <c r="AF86" i="42"/>
  <c r="I111" i="42"/>
  <c r="G52" i="42"/>
  <c r="H85" i="42"/>
  <c r="L83" i="42"/>
  <c r="AT35" i="36"/>
  <c r="AV35" i="36" s="1"/>
  <c r="I85" i="36"/>
  <c r="I94" i="36"/>
  <c r="I103" i="36"/>
  <c r="J8" i="36"/>
  <c r="AT8" i="36" s="1"/>
  <c r="J20" i="36"/>
  <c r="AT20" i="36" s="1"/>
  <c r="M20" i="36" s="1"/>
  <c r="T51" i="41"/>
  <c r="T52" i="41" s="1"/>
  <c r="J50" i="36"/>
  <c r="AT50" i="36" s="1"/>
  <c r="AV50" i="36" s="1"/>
  <c r="L50" i="36" s="1"/>
  <c r="J44" i="36"/>
  <c r="AT44" i="36" s="1"/>
  <c r="AV44" i="36" s="1"/>
  <c r="L44" i="36" s="1"/>
  <c r="AT69" i="36"/>
  <c r="AV69" i="36" s="1"/>
  <c r="L69" i="36" s="1"/>
  <c r="AV9" i="36"/>
  <c r="M9" i="36"/>
  <c r="M50" i="35"/>
  <c r="P50" i="35" s="1"/>
  <c r="M41" i="35"/>
  <c r="P41" i="35" s="1"/>
  <c r="M53" i="35"/>
  <c r="P53" i="35" s="1"/>
  <c r="M47" i="35"/>
  <c r="P47" i="35" s="1"/>
  <c r="M35" i="35"/>
  <c r="P35" i="35" s="1"/>
  <c r="M38" i="35"/>
  <c r="P38" i="35" s="1"/>
  <c r="M32" i="35"/>
  <c r="P32" i="35" s="1"/>
  <c r="Q69" i="36"/>
  <c r="Q109" i="36"/>
  <c r="Q8" i="36"/>
  <c r="Q50" i="36"/>
  <c r="Q20" i="36"/>
  <c r="Q82" i="36"/>
  <c r="Q99" i="36"/>
  <c r="I82" i="42"/>
  <c r="I49" i="42" s="1"/>
  <c r="H49" i="42"/>
  <c r="I104" i="42"/>
  <c r="I115" i="42" s="1"/>
  <c r="I57" i="42"/>
  <c r="I96" i="36"/>
  <c r="I114" i="36"/>
  <c r="I105" i="36"/>
  <c r="I87" i="36"/>
  <c r="I112" i="36"/>
  <c r="H48" i="42"/>
  <c r="I103" i="42"/>
  <c r="I114" i="42" s="1"/>
  <c r="I81" i="42"/>
  <c r="I48" i="42" s="1"/>
  <c r="C55" i="13"/>
  <c r="A32" i="35" s="1"/>
  <c r="D32" i="35" s="1"/>
  <c r="D55" i="13"/>
  <c r="B32" i="35" s="1"/>
  <c r="AF125" i="42"/>
  <c r="I229" i="42"/>
  <c r="AD111" i="42"/>
  <c r="F207" i="42"/>
  <c r="J229" i="42"/>
  <c r="H46" i="42"/>
  <c r="I101" i="42"/>
  <c r="I79" i="42"/>
  <c r="AD90" i="42"/>
  <c r="D165" i="42"/>
  <c r="I130" i="36"/>
  <c r="I148" i="36"/>
  <c r="I121" i="36"/>
  <c r="AT59" i="36"/>
  <c r="AV59" i="36" s="1"/>
  <c r="L59" i="36" s="1"/>
  <c r="I177" i="42"/>
  <c r="AF94" i="42"/>
  <c r="I174" i="42"/>
  <c r="N80" i="42"/>
  <c r="O80" i="42" s="1"/>
  <c r="P80" i="42" s="1"/>
  <c r="I53" i="42"/>
  <c r="L80" i="42"/>
  <c r="H228" i="42"/>
  <c r="Q91" i="36"/>
  <c r="AT71" i="36"/>
  <c r="AV71" i="36" s="1"/>
  <c r="L71" i="36" s="1"/>
  <c r="AT27" i="36"/>
  <c r="J227" i="42"/>
  <c r="T111" i="41"/>
  <c r="T112" i="41" s="1"/>
  <c r="I225" i="42"/>
  <c r="I120" i="42"/>
  <c r="O5" i="36"/>
  <c r="P5" i="36" s="1"/>
  <c r="AA50" i="34"/>
  <c r="Q58" i="36"/>
  <c r="E236" i="42"/>
  <c r="AE111" i="42" s="1"/>
  <c r="E146" i="42"/>
  <c r="Q59" i="36"/>
  <c r="J33" i="36"/>
  <c r="AT33" i="36" s="1"/>
  <c r="AV33" i="36" s="1"/>
  <c r="O127" i="36"/>
  <c r="P127" i="36" s="1"/>
  <c r="O102" i="36"/>
  <c r="P102" i="36" s="1"/>
  <c r="O79" i="36"/>
  <c r="P79" i="36" s="1"/>
  <c r="J77" i="36"/>
  <c r="AT77" i="36" s="1"/>
  <c r="AV77" i="36" s="1"/>
  <c r="L77" i="36" s="1"/>
  <c r="J53" i="36"/>
  <c r="AT53" i="36" s="1"/>
  <c r="AV53" i="36" s="1"/>
  <c r="L53" i="36" s="1"/>
  <c r="J32" i="36"/>
  <c r="AT32" i="36" s="1"/>
  <c r="M32" i="36" s="1"/>
  <c r="Q22" i="36"/>
  <c r="AT23" i="36"/>
  <c r="M23" i="36" s="1"/>
  <c r="AT15" i="36"/>
  <c r="M15" i="36" s="1"/>
  <c r="T173" i="41"/>
  <c r="O72" i="36"/>
  <c r="P72" i="36" s="1"/>
  <c r="O44" i="36"/>
  <c r="P44" i="36" s="1"/>
  <c r="M45" i="13"/>
  <c r="Q115" i="36"/>
  <c r="Q127" i="36"/>
  <c r="Q79" i="36"/>
  <c r="O122" i="36"/>
  <c r="P122" i="36" s="1"/>
  <c r="O64" i="36"/>
  <c r="O22" i="36"/>
  <c r="P22" i="36" s="1"/>
  <c r="O14" i="36"/>
  <c r="P14" i="36" s="1"/>
  <c r="AF107" i="42"/>
  <c r="O124" i="36"/>
  <c r="P124" i="36" s="1"/>
  <c r="Q72" i="36"/>
  <c r="Q65" i="36"/>
  <c r="Q52" i="36"/>
  <c r="AT22" i="36"/>
  <c r="AV22" i="36" s="1"/>
  <c r="E207" i="42"/>
  <c r="Q76" i="36"/>
  <c r="J65" i="36"/>
  <c r="AT65" i="36" s="1"/>
  <c r="AV65" i="36" s="1"/>
  <c r="L65" i="36" s="1"/>
  <c r="J76" i="36"/>
  <c r="AT76" i="36" s="1"/>
  <c r="AV76" i="36" s="1"/>
  <c r="L76" i="36" s="1"/>
  <c r="J41" i="36"/>
  <c r="AT41" i="36" s="1"/>
  <c r="AV41" i="36" s="1"/>
  <c r="L41" i="36" s="1"/>
  <c r="C237" i="42"/>
  <c r="AC112" i="42" s="1"/>
  <c r="AP81" i="42" s="1"/>
  <c r="C235" i="42"/>
  <c r="AC110" i="42" s="1"/>
  <c r="AO81" i="42" s="1"/>
  <c r="O115" i="36"/>
  <c r="P115" i="36" s="1"/>
  <c r="AT64" i="36"/>
  <c r="AV64" i="36" s="1"/>
  <c r="L64" i="36" s="1"/>
  <c r="J11" i="36"/>
  <c r="AT11" i="36" s="1"/>
  <c r="AT17" i="36"/>
  <c r="M17" i="36" s="1"/>
  <c r="H83" i="42"/>
  <c r="G50" i="42"/>
  <c r="D188" i="42"/>
  <c r="S51" i="41"/>
  <c r="O78" i="36"/>
  <c r="P78" i="36" s="1"/>
  <c r="O131" i="36"/>
  <c r="P131" i="36" s="1"/>
  <c r="O118" i="36"/>
  <c r="P118" i="36" s="1"/>
  <c r="O95" i="36"/>
  <c r="P95" i="36" s="1"/>
  <c r="J63" i="36"/>
  <c r="AT63" i="36" s="1"/>
  <c r="AV63" i="36" s="1"/>
  <c r="L63" i="36" s="1"/>
  <c r="J28" i="36"/>
  <c r="AT28" i="36" s="1"/>
  <c r="M28" i="36" s="1"/>
  <c r="C205" i="42"/>
  <c r="AF105" i="42"/>
  <c r="D60" i="13"/>
  <c r="B47" i="35" s="1"/>
  <c r="AD100" i="42"/>
  <c r="J72" i="36"/>
  <c r="AT72" i="36" s="1"/>
  <c r="AV72" i="36" s="1"/>
  <c r="L72" i="36" s="1"/>
  <c r="Q10" i="36"/>
  <c r="O133" i="36"/>
  <c r="P133" i="36" s="1"/>
  <c r="O10" i="36"/>
  <c r="P10" i="36" s="1"/>
  <c r="W111" i="41"/>
  <c r="W112" i="41" s="1"/>
  <c r="E235" i="42"/>
  <c r="J228" i="42" s="1"/>
  <c r="F204" i="42"/>
  <c r="J38" i="36"/>
  <c r="AT38" i="36" s="1"/>
  <c r="AV38" i="36" s="1"/>
  <c r="O20" i="36"/>
  <c r="P20" i="36" s="1"/>
  <c r="Q142" i="36"/>
  <c r="Q113" i="36"/>
  <c r="O93" i="36"/>
  <c r="P93" i="36" s="1"/>
  <c r="J62" i="36"/>
  <c r="AT62" i="36" s="1"/>
  <c r="AV62" i="36" s="1"/>
  <c r="L62" i="36" s="1"/>
  <c r="AT46" i="36"/>
  <c r="AV46" i="36" s="1"/>
  <c r="L46" i="36" s="1"/>
  <c r="F234" i="42"/>
  <c r="AF109" i="42" s="1"/>
  <c r="F235" i="42"/>
  <c r="C47" i="13"/>
  <c r="A11" i="35" s="1"/>
  <c r="D11" i="35" s="1"/>
  <c r="K11" i="35" s="1"/>
  <c r="P11" i="35" s="1"/>
  <c r="O113" i="36"/>
  <c r="P113" i="36" s="1"/>
  <c r="O71" i="36"/>
  <c r="P71" i="36" s="1"/>
  <c r="C204" i="42"/>
  <c r="AD103" i="42"/>
  <c r="J47" i="36"/>
  <c r="AT47" i="36" s="1"/>
  <c r="AV47" i="36" s="1"/>
  <c r="L47" i="36" s="1"/>
  <c r="H91" i="42"/>
  <c r="H80" i="42"/>
  <c r="O109" i="36"/>
  <c r="P109" i="36" s="1"/>
  <c r="AT70" i="36"/>
  <c r="AV70" i="36" s="1"/>
  <c r="L70" i="36" s="1"/>
  <c r="AT34" i="36"/>
  <c r="M34" i="36" s="1"/>
  <c r="O11" i="36"/>
  <c r="P11" i="36" s="1"/>
  <c r="J78" i="36"/>
  <c r="AT78" i="36" s="1"/>
  <c r="AV78" i="36" s="1"/>
  <c r="L78" i="36" s="1"/>
  <c r="J26" i="36"/>
  <c r="AT26" i="36" s="1"/>
  <c r="AV26" i="36" s="1"/>
  <c r="Q106" i="36"/>
  <c r="AE107" i="42"/>
  <c r="Q62" i="36"/>
  <c r="O50" i="36"/>
  <c r="P50" i="36" s="1"/>
  <c r="O84" i="36"/>
  <c r="P84" i="36" s="1"/>
  <c r="O45" i="36"/>
  <c r="P45" i="36" s="1"/>
  <c r="M27" i="36"/>
  <c r="AV27" i="36"/>
  <c r="M5" i="36"/>
  <c r="M10" i="36"/>
  <c r="AG69" i="36" l="1"/>
  <c r="I10" i="53" s="1"/>
  <c r="G10" i="53" s="1"/>
  <c r="G11" i="53" s="1"/>
  <c r="C62" i="13"/>
  <c r="A53" i="35" s="1"/>
  <c r="D53" i="35" s="1"/>
  <c r="L8" i="35"/>
  <c r="L29" i="35"/>
  <c r="AV39" i="36"/>
  <c r="AV21" i="36"/>
  <c r="AV16" i="36"/>
  <c r="M14" i="36"/>
  <c r="M40" i="36"/>
  <c r="M29" i="36"/>
  <c r="L17" i="35"/>
  <c r="P17" i="35"/>
  <c r="C57" i="13"/>
  <c r="A38" i="35" s="1"/>
  <c r="D38" i="35" s="1"/>
  <c r="Y51" i="34"/>
  <c r="Y52" i="34" s="1"/>
  <c r="Y50" i="34"/>
  <c r="D56" i="13"/>
  <c r="B35" i="35" s="1"/>
  <c r="C56" i="13"/>
  <c r="A35" i="35" s="1"/>
  <c r="D35" i="35" s="1"/>
  <c r="L23" i="35"/>
  <c r="P5" i="35"/>
  <c r="L11" i="35"/>
  <c r="P26" i="35"/>
  <c r="L26" i="35"/>
  <c r="AV32" i="36"/>
  <c r="M33" i="36"/>
  <c r="AV15" i="36"/>
  <c r="M35" i="36"/>
  <c r="M22" i="36"/>
  <c r="AV23" i="36"/>
  <c r="AV34" i="36"/>
  <c r="AV28" i="36"/>
  <c r="M8" i="36"/>
  <c r="AV8" i="36"/>
  <c r="M11" i="36"/>
  <c r="AV11" i="36"/>
  <c r="I132" i="36"/>
  <c r="I141" i="36"/>
  <c r="I150" i="36"/>
  <c r="I123" i="36"/>
  <c r="C61" i="13"/>
  <c r="A50" i="35" s="1"/>
  <c r="D50" i="35" s="1"/>
  <c r="D61" i="13"/>
  <c r="B50" i="35" s="1"/>
  <c r="I110" i="36"/>
  <c r="I92" i="36"/>
  <c r="I101" i="36"/>
  <c r="I83" i="36"/>
  <c r="I46" i="42"/>
  <c r="I91" i="42"/>
  <c r="H58" i="42"/>
  <c r="I110" i="42"/>
  <c r="I112" i="42"/>
  <c r="I156" i="42"/>
  <c r="D137" i="42"/>
  <c r="M80" i="42"/>
  <c r="T80" i="42"/>
  <c r="H52" i="42"/>
  <c r="I108" i="42"/>
  <c r="I85" i="42"/>
  <c r="I52" i="42" s="1"/>
  <c r="K227" i="42"/>
  <c r="M26" i="36"/>
  <c r="AV20" i="36"/>
  <c r="AF110" i="42"/>
  <c r="K228" i="42"/>
  <c r="I192" i="42"/>
  <c r="H230" i="42"/>
  <c r="AD125" i="42"/>
  <c r="AD78" i="42"/>
  <c r="P20" i="35"/>
  <c r="I105" i="42"/>
  <c r="H50" i="42"/>
  <c r="I83" i="42"/>
  <c r="I50" i="42" s="1"/>
  <c r="AV17" i="36"/>
  <c r="M38" i="36"/>
  <c r="H47" i="42"/>
  <c r="I102" i="42"/>
  <c r="I80" i="42"/>
  <c r="I217" i="42"/>
  <c r="F229" i="42" s="1"/>
  <c r="AF96" i="42"/>
  <c r="F184" i="42"/>
  <c r="I195" i="42"/>
  <c r="I107" i="36"/>
  <c r="I80" i="36"/>
  <c r="I89" i="36"/>
  <c r="F149" i="42"/>
  <c r="AF88" i="42"/>
  <c r="L14" i="35"/>
  <c r="I119" i="36"/>
  <c r="I137" i="36"/>
  <c r="I128" i="36"/>
  <c r="I146" i="36"/>
  <c r="D10" i="53" l="1"/>
  <c r="D11" i="53" s="1"/>
  <c r="E10" i="53"/>
  <c r="E11" i="53" s="1"/>
  <c r="F10" i="53"/>
  <c r="F11" i="53" s="1"/>
  <c r="I11" i="53" s="1"/>
  <c r="AD86" i="42"/>
  <c r="D141" i="42"/>
  <c r="AD82" i="42"/>
  <c r="I215" i="42"/>
  <c r="I221" i="42" s="1"/>
  <c r="I242" i="42" s="1"/>
  <c r="I121" i="42"/>
  <c r="D147" i="42"/>
  <c r="I113" i="42"/>
  <c r="D136" i="42"/>
  <c r="AD77" i="42"/>
  <c r="L78" i="42"/>
  <c r="I116" i="42"/>
  <c r="D138" i="42"/>
  <c r="AD79" i="42"/>
  <c r="S78" i="42"/>
  <c r="AD106" i="42"/>
  <c r="D207" i="42"/>
  <c r="I212" i="42"/>
  <c r="I47" i="42"/>
  <c r="L79" i="42"/>
  <c r="O78" i="42"/>
  <c r="P78" i="42" s="1"/>
  <c r="D139" i="42"/>
  <c r="I157" i="42"/>
  <c r="AD80" i="42"/>
  <c r="I119" i="42"/>
  <c r="D167" i="42"/>
  <c r="I175" i="42"/>
  <c r="AD92" i="42"/>
  <c r="I58" i="42"/>
  <c r="Q78" i="42"/>
  <c r="R78" i="42" s="1"/>
  <c r="AF112" i="42"/>
  <c r="K230" i="42"/>
  <c r="N78" i="42"/>
  <c r="AF102" i="42"/>
  <c r="F203" i="42"/>
  <c r="I176" i="42" l="1"/>
  <c r="D169" i="42"/>
  <c r="AD94" i="42"/>
  <c r="M79" i="42"/>
  <c r="T79" i="42"/>
  <c r="D225" i="42"/>
  <c r="I218" i="42"/>
  <c r="D235" i="42" s="1"/>
  <c r="I193" i="42"/>
  <c r="AD98" i="42"/>
  <c r="D186" i="42"/>
  <c r="AD83" i="42"/>
  <c r="D144" i="42"/>
  <c r="M78" i="42"/>
  <c r="T78" i="42"/>
  <c r="D146" i="42"/>
  <c r="AD85" i="42"/>
  <c r="AD88" i="42"/>
  <c r="D149" i="42"/>
  <c r="D260" i="42"/>
  <c r="AD124" i="42"/>
  <c r="AD118" i="42"/>
  <c r="I244" i="42"/>
  <c r="D253" i="42"/>
  <c r="I213" i="42" l="1"/>
  <c r="AD104" i="42"/>
  <c r="D205" i="42"/>
  <c r="AD108" i="42"/>
  <c r="I226" i="42"/>
  <c r="I194" i="42"/>
  <c r="I216" i="42"/>
  <c r="D229" i="42" s="1"/>
  <c r="AD96" i="42"/>
  <c r="D184" i="42"/>
  <c r="AD102" i="42" l="1"/>
  <c r="D203" i="42"/>
  <c r="I219" i="42"/>
  <c r="D237" i="42" s="1"/>
  <c r="I230" i="42" s="1"/>
  <c r="D227" i="42"/>
  <c r="AD110" i="42" l="1"/>
  <c r="I228" i="42"/>
  <c r="AD112" i="42"/>
  <c r="O8" i="52" l="1" a="1"/>
  <c r="O8" i="52" s="1"/>
  <c r="Z8" i="52" s="1"/>
  <c r="N8" i="52" a="1"/>
  <c r="N8" i="52" s="1"/>
  <c r="Y8" i="52" s="1"/>
  <c r="AC8" i="5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Iben Moll Rasmussen</author>
    <author>Rikke Næraa</author>
    <author>Mikkel Bosack Simonsen</author>
  </authors>
  <commentList>
    <comment ref="AO3" authorId="0" shapeId="0" xr:uid="{00000000-0006-0000-0500-000001000000}">
      <text>
        <r>
          <rPr>
            <b/>
            <sz val="9"/>
            <color indexed="81"/>
            <rFont val="Tahoma"/>
            <family val="2"/>
          </rPr>
          <t>Iben Moll Rasmussen:</t>
        </r>
        <r>
          <rPr>
            <sz val="9"/>
            <color indexed="81"/>
            <rFont val="Tahoma"/>
            <family val="2"/>
          </rPr>
          <t xml:space="preserve">
The backpressure coefficient is defined as the maximum power generating capacity in backpressure mode divided by the maximum heat capacity</t>
        </r>
      </text>
    </comment>
    <comment ref="R4" authorId="0" shapeId="0" xr:uid="{00000000-0006-0000-0500-000002000000}">
      <text>
        <r>
          <rPr>
            <b/>
            <sz val="9"/>
            <color indexed="81"/>
            <rFont val="Tahoma"/>
            <family val="2"/>
          </rPr>
          <t>Iben Moll Rasmussen:</t>
        </r>
        <r>
          <rPr>
            <sz val="9"/>
            <color indexed="81"/>
            <rFont val="Tahoma"/>
            <family val="2"/>
          </rPr>
          <t xml:space="preserve">
What does this mean?</t>
        </r>
      </text>
    </comment>
    <comment ref="V4" authorId="1" shapeId="0" xr:uid="{00000000-0006-0000-0500-000003000000}">
      <text>
        <r>
          <rPr>
            <b/>
            <sz val="9"/>
            <color indexed="81"/>
            <rFont val="Tahoma"/>
            <family val="2"/>
          </rPr>
          <t>Rikke Næraa:</t>
        </r>
        <r>
          <rPr>
            <sz val="9"/>
            <color indexed="81"/>
            <rFont val="Tahoma"/>
            <family val="2"/>
          </rPr>
          <t xml:space="preserve">
All  numbers are changed to a integer
 the value is shown in a comment box
</t>
        </r>
      </text>
    </comment>
    <comment ref="V5" authorId="1" shapeId="0" xr:uid="{00000000-0006-0000-0500-000004000000}">
      <text>
        <r>
          <rPr>
            <b/>
            <sz val="9"/>
            <color indexed="81"/>
            <rFont val="Tahoma"/>
            <family val="2"/>
          </rPr>
          <t>Rikke Næraa:</t>
        </r>
        <r>
          <rPr>
            <sz val="9"/>
            <color indexed="81"/>
            <rFont val="Tahoma"/>
            <family val="2"/>
          </rPr>
          <t xml:space="preserve">
4.5
</t>
        </r>
      </text>
    </comment>
    <comment ref="V11" authorId="1" shapeId="0" xr:uid="{00000000-0006-0000-0500-000005000000}">
      <text>
        <r>
          <rPr>
            <b/>
            <sz val="9"/>
            <color indexed="81"/>
            <rFont val="Tahoma"/>
            <family val="2"/>
          </rPr>
          <t>Rikke Næraa:</t>
        </r>
        <r>
          <rPr>
            <sz val="9"/>
            <color indexed="81"/>
            <rFont val="Tahoma"/>
            <family val="2"/>
          </rPr>
          <t xml:space="preserve">
4.5
</t>
        </r>
      </text>
    </comment>
    <comment ref="V17" authorId="1" shapeId="0" xr:uid="{00000000-0006-0000-0500-000006000000}">
      <text>
        <r>
          <rPr>
            <b/>
            <sz val="9"/>
            <color indexed="81"/>
            <rFont val="Tahoma"/>
            <family val="2"/>
          </rPr>
          <t>Rikke Næraa:</t>
        </r>
        <r>
          <rPr>
            <sz val="9"/>
            <color indexed="81"/>
            <rFont val="Tahoma"/>
            <family val="2"/>
          </rPr>
          <t xml:space="preserve">
4.5
</t>
        </r>
      </text>
    </comment>
    <comment ref="V23" authorId="1" shapeId="0" xr:uid="{00000000-0006-0000-0500-000007000000}">
      <text>
        <r>
          <rPr>
            <b/>
            <sz val="9"/>
            <color indexed="81"/>
            <rFont val="Tahoma"/>
            <family val="2"/>
          </rPr>
          <t>Rikke Næraa:</t>
        </r>
        <r>
          <rPr>
            <sz val="9"/>
            <color indexed="81"/>
            <rFont val="Tahoma"/>
            <family val="2"/>
          </rPr>
          <t xml:space="preserve">
4.5
</t>
        </r>
      </text>
    </comment>
    <comment ref="V65" authorId="1" shapeId="0" xr:uid="{00000000-0006-0000-0500-000008000000}">
      <text>
        <r>
          <rPr>
            <b/>
            <sz val="9"/>
            <color indexed="81"/>
            <rFont val="Tahoma"/>
            <family val="2"/>
          </rPr>
          <t>Rikke Næraa:</t>
        </r>
        <r>
          <rPr>
            <sz val="9"/>
            <color indexed="81"/>
            <rFont val="Tahoma"/>
            <family val="2"/>
          </rPr>
          <t xml:space="preserve">
4.5
</t>
        </r>
      </text>
    </comment>
    <comment ref="K67" authorId="2" shapeId="0" xr:uid="{00000000-0006-0000-0500-000009000000}">
      <text>
        <r>
          <rPr>
            <b/>
            <sz val="9"/>
            <color indexed="81"/>
            <rFont val="Tahoma"/>
            <family val="2"/>
          </rPr>
          <t>Mikkel Bosack Simonsen:</t>
        </r>
        <r>
          <rPr>
            <sz val="9"/>
            <color indexed="81"/>
            <rFont val="Tahoma"/>
            <family val="2"/>
          </rPr>
          <t xml:space="preserve">
Assumed Co2 content in waste similar to coal per energy unit and 50 % is renewable</t>
        </r>
      </text>
    </comment>
    <comment ref="K68" authorId="2" shapeId="0" xr:uid="{F84562D1-6EDB-432F-9E17-FEBB8EA2CF75}">
      <text>
        <r>
          <rPr>
            <b/>
            <sz val="9"/>
            <color indexed="81"/>
            <rFont val="Tahoma"/>
            <family val="2"/>
          </rPr>
          <t>Mikkel Bosack Simonsen:</t>
        </r>
        <r>
          <rPr>
            <sz val="9"/>
            <color indexed="81"/>
            <rFont val="Tahoma"/>
            <family val="2"/>
          </rPr>
          <t xml:space="preserve">
Assumed Co2 content in waste similar to coal per energy unit and 50 % is renewable</t>
        </r>
      </text>
    </comment>
    <comment ref="V72" authorId="1" shapeId="0" xr:uid="{00000000-0006-0000-0500-00000A000000}">
      <text>
        <r>
          <rPr>
            <b/>
            <sz val="9"/>
            <color indexed="81"/>
            <rFont val="Tahoma"/>
            <family val="2"/>
          </rPr>
          <t>Rikke Næraa:</t>
        </r>
        <r>
          <rPr>
            <sz val="9"/>
            <color indexed="81"/>
            <rFont val="Tahoma"/>
            <family val="2"/>
          </rPr>
          <t xml:space="preserve">
4.5
</t>
        </r>
      </text>
    </comment>
    <comment ref="K74" authorId="2" shapeId="0" xr:uid="{7F793743-5364-4908-9B90-E2F3D3DB9C78}">
      <text>
        <r>
          <rPr>
            <b/>
            <sz val="9"/>
            <color indexed="81"/>
            <rFont val="Tahoma"/>
            <family val="2"/>
          </rPr>
          <t>Mikkel Bosack Simonsen:</t>
        </r>
        <r>
          <rPr>
            <sz val="9"/>
            <color indexed="81"/>
            <rFont val="Tahoma"/>
            <family val="2"/>
          </rPr>
          <t xml:space="preserve">
Assumed Co2 content in waste similar to coal per energy unit and 50 % is renewable</t>
        </r>
      </text>
    </comment>
    <comment ref="K75" authorId="2" shapeId="0" xr:uid="{CAC2A0B3-2792-4577-9B1B-B05F5C0C1581}">
      <text>
        <r>
          <rPr>
            <b/>
            <sz val="9"/>
            <color indexed="81"/>
            <rFont val="Tahoma"/>
            <family val="2"/>
          </rPr>
          <t>Mikkel Bosack Simonsen:</t>
        </r>
        <r>
          <rPr>
            <sz val="9"/>
            <color indexed="81"/>
            <rFont val="Tahoma"/>
            <family val="2"/>
          </rPr>
          <t xml:space="preserve">
Assumed Co2 content in waste similar to coal per energy unit and 50 % is renewable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Andreas Helk | Viegand Maagøe</author>
  </authors>
  <commentList>
    <comment ref="F5" authorId="0" shapeId="0" xr:uid="{A9792D54-19D5-4685-B882-F510555D1AAE}">
      <text>
        <r>
          <rPr>
            <b/>
            <sz val="9"/>
            <color indexed="81"/>
            <rFont val="Tahoma"/>
            <family val="2"/>
          </rPr>
          <t>Andreas Helk | Viegand Maagøe:</t>
        </r>
        <r>
          <rPr>
            <sz val="9"/>
            <color indexed="81"/>
            <rFont val="Tahoma"/>
            <family val="2"/>
          </rPr>
          <t xml:space="preserve">
Heat pumps are set to use both electricity and waste heat within industries.</t>
        </r>
      </text>
    </comment>
    <comment ref="I5" authorId="0" shapeId="0" xr:uid="{164C0734-5236-4342-BF94-51530EDE749E}">
      <text>
        <r>
          <rPr>
            <b/>
            <sz val="9"/>
            <color indexed="81"/>
            <rFont val="Tahoma"/>
            <family val="2"/>
          </rPr>
          <t>Andreas Helk | Viegand Maagøe:</t>
        </r>
        <r>
          <rPr>
            <sz val="9"/>
            <color indexed="81"/>
            <rFont val="Tahoma"/>
            <family val="2"/>
          </rPr>
          <t xml:space="preserve">
Boilers are also set to give out waste heat</t>
        </r>
      </text>
    </comment>
    <comment ref="R5" authorId="0" shapeId="0" xr:uid="{30847522-4B24-4281-A942-A3865B8E11E7}">
      <text>
        <r>
          <rPr>
            <b/>
            <sz val="9"/>
            <color indexed="81"/>
            <rFont val="Tahoma"/>
            <family val="2"/>
          </rPr>
          <t>Andreas Helk | Viegand Maagøe:</t>
        </r>
        <r>
          <rPr>
            <sz val="9"/>
            <color indexed="81"/>
            <rFont val="Tahoma"/>
            <family val="2"/>
          </rPr>
          <t xml:space="preserve">
Consider looking into updating these</t>
        </r>
      </text>
    </comment>
    <comment ref="AE5" authorId="0" shapeId="0" xr:uid="{0C38120B-E299-4270-B77C-B1FE01C09221}">
      <text>
        <r>
          <rPr>
            <b/>
            <sz val="9"/>
            <color indexed="81"/>
            <rFont val="Tahoma"/>
            <family val="2"/>
          </rPr>
          <t>Andreas Helk | Viegand Maagøe:</t>
        </r>
        <r>
          <rPr>
            <sz val="9"/>
            <color indexed="81"/>
            <rFont val="Tahoma"/>
            <family val="2"/>
          </rPr>
          <t xml:space="preserve">
For heat pumps the COP value is loaded here for calculating the input shares. (* means that TIMES does not read the column)</t>
        </r>
      </text>
    </comment>
    <comment ref="AN5" authorId="0" shapeId="0" xr:uid="{80C59A1F-B1DC-4E74-98E8-E4D43851C643}">
      <text>
        <r>
          <rPr>
            <b/>
            <sz val="9"/>
            <color indexed="81"/>
            <rFont val="Tahoma"/>
            <family val="2"/>
          </rPr>
          <t>Andreas Helk | Viegand Maagøe:</t>
        </r>
        <r>
          <rPr>
            <sz val="9"/>
            <color indexed="81"/>
            <rFont val="Tahoma"/>
            <family val="2"/>
          </rPr>
          <t xml:space="preserve">
Consider looking into updating these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Iben Moll Rasmussen</author>
    <author>Rikke Næraa</author>
  </authors>
  <commentList>
    <comment ref="N5" authorId="0" shapeId="0" xr:uid="{00000000-0006-0000-0400-000001000000}">
      <text>
        <r>
          <rPr>
            <b/>
            <sz val="9"/>
            <color indexed="81"/>
            <rFont val="Tahoma"/>
            <family val="2"/>
          </rPr>
          <t>Iben Moll Rasmussen:</t>
        </r>
        <r>
          <rPr>
            <sz val="9"/>
            <color indexed="81"/>
            <rFont val="Tahoma"/>
            <family val="2"/>
          </rPr>
          <t xml:space="preserve">
What does this mean?</t>
        </r>
      </text>
    </comment>
    <comment ref="R5" authorId="1" shapeId="0" xr:uid="{00000000-0006-0000-0400-000002000000}">
      <text>
        <r>
          <rPr>
            <b/>
            <sz val="9"/>
            <color indexed="81"/>
            <rFont val="Tahoma"/>
            <family val="2"/>
          </rPr>
          <t>Rikke Næraa:</t>
        </r>
        <r>
          <rPr>
            <sz val="9"/>
            <color indexed="81"/>
            <rFont val="Tahoma"/>
            <family val="2"/>
          </rPr>
          <t xml:space="preserve">
All  numbers are changed to a integer
 the value is shown in a comment box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Iben Moll Rasmussen</author>
    <author>Rikke Næraa</author>
  </authors>
  <commentList>
    <comment ref="O5" authorId="0" shapeId="0" xr:uid="{A5A29E91-260E-4A41-B62B-8BABCE519D8A}">
      <text>
        <r>
          <rPr>
            <b/>
            <sz val="9"/>
            <color indexed="81"/>
            <rFont val="Tahoma"/>
            <family val="2"/>
          </rPr>
          <t>Iben Moll Rasmussen:</t>
        </r>
        <r>
          <rPr>
            <sz val="9"/>
            <color indexed="81"/>
            <rFont val="Tahoma"/>
            <family val="2"/>
          </rPr>
          <t xml:space="preserve">
What does this mean?</t>
        </r>
      </text>
    </comment>
    <comment ref="S5" authorId="1" shapeId="0" xr:uid="{E5AF0D40-7BF0-4723-B27E-EDE8A364D571}">
      <text>
        <r>
          <rPr>
            <b/>
            <sz val="9"/>
            <color indexed="81"/>
            <rFont val="Tahoma"/>
            <family val="2"/>
          </rPr>
          <t>Rikke Næraa:</t>
        </r>
        <r>
          <rPr>
            <sz val="9"/>
            <color indexed="81"/>
            <rFont val="Tahoma"/>
            <family val="2"/>
          </rPr>
          <t xml:space="preserve">
All  numbers are changed to a integer
 the value is shown in a comment box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Andreas Helk | Viegand Maagøe</author>
    <author>Maurizio Gargiulo</author>
    <author>Stefan Petrovic</author>
  </authors>
  <commentList>
    <comment ref="G3" authorId="0" shapeId="0" xr:uid="{36485759-77E3-48B0-B0C6-E95F7C71D295}">
      <text>
        <r>
          <rPr>
            <b/>
            <sz val="9"/>
            <color indexed="81"/>
            <rFont val="Tahoma"/>
            <family val="2"/>
          </rPr>
          <t>Andreas Helk | Viegand Maagøe:</t>
        </r>
        <r>
          <rPr>
            <sz val="9"/>
            <color indexed="81"/>
            <rFont val="Tahoma"/>
            <family val="2"/>
          </rPr>
          <t xml:space="preserve">
Heat pumps are set to use both electricity and waste heat within industries.</t>
        </r>
      </text>
    </comment>
    <comment ref="I3" authorId="0" shapeId="0" xr:uid="{E92D090C-B1AA-496B-AD3D-211A6BED604E}">
      <text>
        <r>
          <rPr>
            <b/>
            <sz val="9"/>
            <color indexed="81"/>
            <rFont val="Tahoma"/>
            <family val="2"/>
          </rPr>
          <t>Andreas Helk | Viegand Maagøe:</t>
        </r>
        <r>
          <rPr>
            <sz val="9"/>
            <color indexed="81"/>
            <rFont val="Tahoma"/>
            <family val="2"/>
          </rPr>
          <t xml:space="preserve">
Boilers are also set to give out waste heat</t>
        </r>
      </text>
    </comment>
    <comment ref="M3" authorId="0" shapeId="0" xr:uid="{A394F9C4-EA8C-47E7-A74B-A1CAA4C9D75F}">
      <text>
        <r>
          <rPr>
            <b/>
            <sz val="9"/>
            <color indexed="81"/>
            <rFont val="Tahoma"/>
            <family val="2"/>
          </rPr>
          <t>Andreas Helk | Viegand Maagøe:</t>
        </r>
        <r>
          <rPr>
            <sz val="9"/>
            <color indexed="81"/>
            <rFont val="Tahoma"/>
            <family val="2"/>
          </rPr>
          <t xml:space="preserve">
For heat pumps the COP value is loaded here for calculating the input shares. (* means that TIMES does not read the column)</t>
        </r>
      </text>
    </comment>
    <comment ref="S3" authorId="0" shapeId="0" xr:uid="{D3CD8ECD-0670-4874-B6E2-DD47E4885946}">
      <text>
        <r>
          <rPr>
            <b/>
            <sz val="9"/>
            <color indexed="81"/>
            <rFont val="Tahoma"/>
            <family val="2"/>
          </rPr>
          <t>Andreas Helk | Viegand Maagøe:</t>
        </r>
        <r>
          <rPr>
            <sz val="9"/>
            <color indexed="81"/>
            <rFont val="Tahoma"/>
            <family val="2"/>
          </rPr>
          <t xml:space="preserve">
Consider looking into updating these</t>
        </r>
      </text>
    </comment>
    <comment ref="X3" authorId="1" shapeId="0" xr:uid="{4047391D-671E-4939-B0D3-7314941A6897}">
      <text>
        <r>
          <rPr>
            <b/>
            <sz val="9"/>
            <color indexed="81"/>
            <rFont val="Tahoma"/>
            <family val="2"/>
          </rPr>
          <t>Maurizio Gargiulo:</t>
        </r>
        <r>
          <rPr>
            <sz val="9"/>
            <color indexed="81"/>
            <rFont val="Tahoma"/>
            <family val="2"/>
          </rPr>
          <t xml:space="preserve">
It is not possible to use the parameter like in here because we have more than one COMM-OUT.
If you try to join the two tables you will get an error. We should move these information in a scenario file</t>
        </r>
      </text>
    </comment>
    <comment ref="M6" authorId="0" shapeId="0" xr:uid="{86DCD2B9-F479-4CF6-AB71-78CF80D328BC}">
      <text>
        <r>
          <rPr>
            <b/>
            <sz val="9"/>
            <color indexed="81"/>
            <rFont val="Tahoma"/>
            <family val="2"/>
          </rPr>
          <t>Andreas Helk | Viegand Maagøe:</t>
        </r>
        <r>
          <rPr>
            <sz val="9"/>
            <color indexed="81"/>
            <rFont val="Tahoma"/>
            <family val="2"/>
          </rPr>
          <t xml:space="preserve">
Heat pump COP is written in this column since they are not using air as heat source, but using the waste heat within the industry.</t>
        </r>
      </text>
    </comment>
    <comment ref="T30" authorId="0" shapeId="0" xr:uid="{1D6C5BDA-FBF4-4E66-B10D-CC7B19B04727}">
      <text>
        <r>
          <rPr>
            <b/>
            <sz val="9"/>
            <color indexed="81"/>
            <rFont val="Tahoma"/>
            <family val="2"/>
          </rPr>
          <t>Andreas Helk | Viegand Maagøe:</t>
        </r>
        <r>
          <rPr>
            <sz val="9"/>
            <color indexed="81"/>
            <rFont val="Tahoma"/>
            <family val="2"/>
          </rPr>
          <t xml:space="preserve">
Assumed that the traditional heat pumps are prioritized first, so the Abs. heat pump potential is what is left.</t>
        </r>
      </text>
    </comment>
    <comment ref="T42" authorId="0" shapeId="0" xr:uid="{393727EA-28DB-48B6-AC0E-D220F4B399B6}">
      <text>
        <r>
          <rPr>
            <b/>
            <sz val="9"/>
            <color indexed="81"/>
            <rFont val="Tahoma"/>
            <family val="2"/>
          </rPr>
          <t>Andreas Helk | Viegand Maagøe:</t>
        </r>
        <r>
          <rPr>
            <sz val="9"/>
            <color indexed="81"/>
            <rFont val="Tahoma"/>
            <family val="2"/>
          </rPr>
          <t xml:space="preserve">
Assumed that the traditional heat pumps are prioritized first, so the Booster heat pump potential is what is left.</t>
        </r>
      </text>
    </comment>
    <comment ref="T180" authorId="0" shapeId="0" xr:uid="{4BD1BDAB-F294-49FD-BD25-7A96647F7E0E}">
      <text>
        <r>
          <rPr>
            <b/>
            <sz val="9"/>
            <color indexed="81"/>
            <rFont val="Tahoma"/>
            <family val="2"/>
          </rPr>
          <t>Andreas Helk | Viegand Maagøe:</t>
        </r>
        <r>
          <rPr>
            <sz val="9"/>
            <color indexed="81"/>
            <rFont val="Tahoma"/>
            <family val="2"/>
          </rPr>
          <t xml:space="preserve">
Not a part of the technology catalogue -  manual input</t>
        </r>
      </text>
    </comment>
    <comment ref="O184" authorId="2" shapeId="0" xr:uid="{0D4BC260-28BF-4CD9-B709-268FBF6E4980}">
      <text>
        <r>
          <rPr>
            <b/>
            <sz val="9"/>
            <color indexed="81"/>
            <rFont val="Tahoma"/>
            <family val="2"/>
          </rPr>
          <t>Stefan Petrovic:</t>
        </r>
        <r>
          <rPr>
            <sz val="9"/>
            <color indexed="81"/>
            <rFont val="Tahoma"/>
            <family val="2"/>
          </rPr>
          <t xml:space="preserve">
=L6*0.95 was previously</t>
        </r>
      </text>
    </comment>
    <comment ref="O185" authorId="2" shapeId="0" xr:uid="{26F14213-7F0F-4D9E-B197-2995CCC0D9F3}">
      <text>
        <r>
          <rPr>
            <b/>
            <sz val="9"/>
            <color indexed="81"/>
            <rFont val="Tahoma"/>
            <family val="2"/>
          </rPr>
          <t>Stefan Petrovic:</t>
        </r>
        <r>
          <rPr>
            <sz val="9"/>
            <color indexed="81"/>
            <rFont val="Tahoma"/>
            <family val="2"/>
          </rPr>
          <t xml:space="preserve">
=L6*0.95 was previously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Mikkel Bosack Simonsen</author>
  </authors>
  <commentList>
    <comment ref="H23" authorId="0" shapeId="0" xr:uid="{00000000-0006-0000-0D00-000001000000}">
      <text>
        <r>
          <rPr>
            <b/>
            <sz val="9"/>
            <color indexed="81"/>
            <rFont val="Tahoma"/>
            <family val="2"/>
          </rPr>
          <t>Mikkel Bosack Simonsen:</t>
        </r>
        <r>
          <rPr>
            <sz val="9"/>
            <color indexed="81"/>
            <rFont val="Tahoma"/>
            <family val="2"/>
          </rPr>
          <t xml:space="preserve">
SE1 to DK2 to DHF</t>
        </r>
      </text>
    </comment>
    <comment ref="H25" authorId="0" shapeId="0" xr:uid="{00000000-0006-0000-0D00-000002000000}">
      <text>
        <r>
          <rPr>
            <b/>
            <sz val="9"/>
            <color indexed="81"/>
            <rFont val="Tahoma"/>
            <family val="2"/>
          </rPr>
          <t>Mikkel Bosack Simonsen:</t>
        </r>
        <r>
          <rPr>
            <sz val="9"/>
            <color indexed="81"/>
            <rFont val="Tahoma"/>
            <family val="2"/>
          </rPr>
          <t xml:space="preserve">
SE2 to DK2 to DHF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<sst xmlns="http://schemas.openxmlformats.org/spreadsheetml/2006/main" count="6196" uniqueCount="1059">
  <si>
    <t>~FI_T</t>
  </si>
  <si>
    <t>TechName</t>
  </si>
  <si>
    <t>*TechDesc</t>
  </si>
  <si>
    <t>Comm-IN</t>
  </si>
  <si>
    <t>Comm-OUT</t>
  </si>
  <si>
    <t>Year</t>
  </si>
  <si>
    <t>START</t>
  </si>
  <si>
    <t>EFF</t>
  </si>
  <si>
    <t>INVCOST</t>
  </si>
  <si>
    <t>FIXOM</t>
  </si>
  <si>
    <t>VAROM</t>
  </si>
  <si>
    <t>CAP2ACT</t>
  </si>
  <si>
    <t>AFA</t>
  </si>
  <si>
    <t>*PlantName</t>
  </si>
  <si>
    <t>*Unit</t>
  </si>
  <si>
    <t>Factor</t>
  </si>
  <si>
    <t>Years</t>
  </si>
  <si>
    <t>ELCC</t>
  </si>
  <si>
    <t>ELCCOA</t>
  </si>
  <si>
    <t>LIFE</t>
  </si>
  <si>
    <t>ELCCPW</t>
  </si>
  <si>
    <t>ELCNGA</t>
  </si>
  <si>
    <t>ELCWST</t>
  </si>
  <si>
    <t>ELCSTR</t>
  </si>
  <si>
    <t>ELCWIN</t>
  </si>
  <si>
    <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</si>
  <si>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</si>
  <si>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</si>
  <si>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</si>
  <si>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</si>
  <si>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</si>
  <si>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</si>
  <si>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</si>
  <si>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</si>
  <si>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</si>
  <si>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</si>
  <si>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</si>
  <si>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</si>
  <si>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</si>
  <si>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</si>
  <si>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</si>
  <si>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</si>
  <si>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~FI_Comm</t>
  </si>
  <si>
    <t>Csets</t>
  </si>
  <si>
    <t>CommName</t>
  </si>
  <si>
    <t>CommDesc</t>
  </si>
  <si>
    <t>Unit</t>
  </si>
  <si>
    <t>LimType</t>
  </si>
  <si>
    <t>CTSLvl</t>
  </si>
  <si>
    <t>PeakTS</t>
  </si>
  <si>
    <t>Ctype</t>
  </si>
  <si>
    <t>*Commodity 
Set Membership</t>
  </si>
  <si>
    <t>Commodity Name</t>
  </si>
  <si>
    <t>Commodity 
Description</t>
  </si>
  <si>
    <t>Sense of the Balance EQN.</t>
  </si>
  <si>
    <t>Timeslice Level</t>
  </si>
  <si>
    <t>Peak Monitoring</t>
  </si>
  <si>
    <t>Electricity Indicator</t>
  </si>
  <si>
    <t>ELCGEO</t>
  </si>
  <si>
    <t>Comm-IN-A</t>
  </si>
  <si>
    <t>Units of activity/unit of capacity</t>
  </si>
  <si>
    <t>Annual availability/utilization factor</t>
  </si>
  <si>
    <t>Technical life</t>
  </si>
  <si>
    <t>Total cost of investment in new capacity</t>
  </si>
  <si>
    <t>Annual fixed O&amp;M cost</t>
  </si>
  <si>
    <t>Annual variable O&amp;M cost</t>
  </si>
  <si>
    <t>The first year when a technology is available for Investment</t>
  </si>
  <si>
    <t>Input name</t>
  </si>
  <si>
    <t>Output name</t>
  </si>
  <si>
    <t>ELCAMB</t>
  </si>
  <si>
    <t>Date</t>
  </si>
  <si>
    <r>
      <t>1)</t>
    </r>
    <r>
      <rPr>
        <b/>
        <sz val="7"/>
        <color theme="1"/>
        <rFont val="Times New Roman"/>
        <family val="1"/>
      </rPr>
      <t xml:space="preserve">      </t>
    </r>
    <r>
      <rPr>
        <b/>
        <sz val="11"/>
        <color theme="1"/>
        <rFont val="Calibri"/>
        <family val="2"/>
        <scheme val="minor"/>
      </rPr>
      <t>Identification of technology codes for the power and district heating sector</t>
    </r>
  </si>
  <si>
    <t>NGA</t>
  </si>
  <si>
    <t>CODE</t>
  </si>
  <si>
    <t>WIN</t>
  </si>
  <si>
    <t>SOL</t>
  </si>
  <si>
    <t>Sector</t>
  </si>
  <si>
    <t>Heavy Fuel Oil</t>
  </si>
  <si>
    <t>Diesel</t>
  </si>
  <si>
    <t>Coal</t>
  </si>
  <si>
    <t>Nat. Gas</t>
  </si>
  <si>
    <t>Hydro</t>
  </si>
  <si>
    <t>Solar</t>
  </si>
  <si>
    <t>Wind</t>
  </si>
  <si>
    <t>Bio1</t>
  </si>
  <si>
    <t>Chips, pellets, wood waste</t>
  </si>
  <si>
    <t>Bio2</t>
  </si>
  <si>
    <t>Energy crops</t>
  </si>
  <si>
    <t>Bio3</t>
  </si>
  <si>
    <t>Straw</t>
  </si>
  <si>
    <t>Waste</t>
  </si>
  <si>
    <t>Geothermal</t>
  </si>
  <si>
    <t>ELC</t>
  </si>
  <si>
    <t>ELCHFO</t>
  </si>
  <si>
    <t>ELCDSL</t>
  </si>
  <si>
    <t>ELCHYD</t>
  </si>
  <si>
    <r>
      <t>ELCSOL</t>
    </r>
    <r>
      <rPr>
        <sz val="8"/>
        <color theme="1"/>
        <rFont val="Calibri"/>
        <family val="2"/>
        <scheme val="minor"/>
      </rPr>
      <t> </t>
    </r>
  </si>
  <si>
    <t>ELCENC</t>
  </si>
  <si>
    <t>Fuel Code</t>
  </si>
  <si>
    <t>HFO</t>
  </si>
  <si>
    <t>DSL</t>
  </si>
  <si>
    <t>COA</t>
  </si>
  <si>
    <t>HYD</t>
  </si>
  <si>
    <t>CPW</t>
  </si>
  <si>
    <t>ENC</t>
  </si>
  <si>
    <t>STR</t>
  </si>
  <si>
    <t>WST</t>
  </si>
  <si>
    <t>GEO</t>
  </si>
  <si>
    <t>E = existing, N = New</t>
  </si>
  <si>
    <r>
      <t>b)</t>
    </r>
    <r>
      <rPr>
        <b/>
        <sz val="7"/>
        <color theme="1"/>
        <rFont val="Times New Roman"/>
        <family val="1"/>
      </rPr>
      <t xml:space="preserve">      </t>
    </r>
    <r>
      <rPr>
        <b/>
        <sz val="11"/>
        <color theme="1"/>
        <rFont val="Calibri"/>
        <family val="2"/>
        <scheme val="minor"/>
      </rPr>
      <t>Fuel names power and district heating sector</t>
    </r>
  </si>
  <si>
    <r>
      <t>c)</t>
    </r>
    <r>
      <rPr>
        <b/>
        <sz val="7"/>
        <color theme="1"/>
        <rFont val="Times New Roman"/>
        <family val="1"/>
      </rPr>
      <t xml:space="preserve">      </t>
    </r>
    <r>
      <rPr>
        <b/>
        <sz val="11"/>
        <color theme="1"/>
        <rFont val="Calibri"/>
        <family val="2"/>
        <scheme val="minor"/>
      </rPr>
      <t>Existing or New plant</t>
    </r>
  </si>
  <si>
    <t>Ambient temperature</t>
  </si>
  <si>
    <t>AMB</t>
  </si>
  <si>
    <t>Name</t>
  </si>
  <si>
    <t>Sheet Name</t>
  </si>
  <si>
    <t>Cells</t>
  </si>
  <si>
    <t>Comments</t>
  </si>
  <si>
    <t xml:space="preserve">Number starting from 5 to ensure that it do not have the same name as the technology from the VT file tech a,b,c,d, ( c and D now moved and cganged to subres files </t>
  </si>
  <si>
    <t>Description</t>
  </si>
  <si>
    <t>Purpose:</t>
  </si>
  <si>
    <t>Description:</t>
  </si>
  <si>
    <t>Relevant sectors</t>
  </si>
  <si>
    <t>Description of different sheets</t>
  </si>
  <si>
    <t>New technologies available for the power and heat sector</t>
  </si>
  <si>
    <t>The data is based on the technology catalgues</t>
  </si>
  <si>
    <t>Commodity definitions</t>
  </si>
  <si>
    <t>Process definition for new technologies</t>
  </si>
  <si>
    <t>Naming_convention</t>
  </si>
  <si>
    <t>Description of naming convention</t>
  </si>
  <si>
    <t>ELCCCS</t>
  </si>
  <si>
    <t>CCS</t>
  </si>
  <si>
    <t>Carbon Capture and Storage</t>
  </si>
  <si>
    <t>CCS_Comm</t>
  </si>
  <si>
    <t>CCS_processes</t>
  </si>
  <si>
    <t>CCS_CAP</t>
  </si>
  <si>
    <t>ENV</t>
  </si>
  <si>
    <t>PRE</t>
  </si>
  <si>
    <t>Simon Brøndum Andersen</t>
  </si>
  <si>
    <t>All sheets</t>
  </si>
  <si>
    <t>All cells</t>
  </si>
  <si>
    <t>Added the CCS technology to the model</t>
  </si>
  <si>
    <t>Capture technologies available for the model</t>
  </si>
  <si>
    <t>Capture Types</t>
  </si>
  <si>
    <t>Post-combustion</t>
  </si>
  <si>
    <t>Pre-combustion</t>
  </si>
  <si>
    <t>Oxyfuel-combustion</t>
  </si>
  <si>
    <t>POST</t>
  </si>
  <si>
    <t>OXY</t>
  </si>
  <si>
    <r>
      <t>a)</t>
    </r>
    <r>
      <rPr>
        <b/>
        <sz val="7"/>
        <color theme="1"/>
        <rFont val="Times New Roman"/>
        <family val="1"/>
      </rPr>
      <t xml:space="preserve">      </t>
    </r>
    <r>
      <rPr>
        <b/>
        <sz val="11"/>
        <color theme="1"/>
        <rFont val="Calibri"/>
        <family val="2"/>
        <scheme val="minor"/>
      </rPr>
      <t>Capture types</t>
    </r>
  </si>
  <si>
    <t>This is the rule to build the CCS name in the model:</t>
  </si>
  <si>
    <t>Capture</t>
  </si>
  <si>
    <t>Transport</t>
  </si>
  <si>
    <t>Storage</t>
  </si>
  <si>
    <r>
      <t>a)</t>
    </r>
    <r>
      <rPr>
        <b/>
        <sz val="7"/>
        <color theme="1"/>
        <rFont val="Times New Roman"/>
        <family val="1"/>
      </rPr>
      <t xml:space="preserve">      </t>
    </r>
    <r>
      <rPr>
        <b/>
        <sz val="11"/>
        <color theme="1"/>
        <rFont val="Calibri"/>
        <family val="2"/>
        <scheme val="minor"/>
      </rPr>
      <t>Transport types</t>
    </r>
  </si>
  <si>
    <r>
      <t>a)</t>
    </r>
    <r>
      <rPr>
        <b/>
        <sz val="7"/>
        <color theme="1"/>
        <rFont val="Times New Roman"/>
        <family val="1"/>
      </rPr>
      <t xml:space="preserve">      </t>
    </r>
    <r>
      <rPr>
        <b/>
        <sz val="11"/>
        <color theme="1"/>
        <rFont val="Calibri"/>
        <family val="2"/>
        <scheme val="minor"/>
      </rPr>
      <t>Storage types</t>
    </r>
  </si>
  <si>
    <r>
      <t>&lt;CCS&gt;&lt;Code&gt;&lt;Fuel Code&gt;</t>
    </r>
    <r>
      <rPr>
        <u/>
        <sz val="11"/>
        <color rgb="FF008080"/>
        <rFont val="Calibri"/>
        <family val="2"/>
        <scheme val="minor"/>
      </rPr>
      <t>&lt;</t>
    </r>
    <r>
      <rPr>
        <sz val="11"/>
        <color theme="1"/>
        <rFont val="Calibri"/>
        <family val="2"/>
        <scheme val="minor"/>
      </rPr>
      <t>Number&gt;&lt;Existing or New&gt;</t>
    </r>
  </si>
  <si>
    <r>
      <t>&lt;CCS&gt;&lt;Code&gt;&lt;On or Offshore&gt;&lt;Distance&gt;</t>
    </r>
    <r>
      <rPr>
        <u/>
        <sz val="11"/>
        <color rgb="FF008080"/>
        <rFont val="Calibri"/>
        <family val="2"/>
        <scheme val="minor"/>
      </rPr>
      <t>&lt;</t>
    </r>
    <r>
      <rPr>
        <sz val="11"/>
        <color theme="1"/>
        <rFont val="Calibri"/>
        <family val="2"/>
        <scheme val="minor"/>
      </rPr>
      <t>Number&gt;&lt;Existing or New&gt;</t>
    </r>
  </si>
  <si>
    <t>kt</t>
  </si>
  <si>
    <t>Loss during transportation</t>
  </si>
  <si>
    <t>CO2_STO/CO2_TRA</t>
  </si>
  <si>
    <t>Hydrocarbon fields</t>
  </si>
  <si>
    <t>Saline Aquifers</t>
  </si>
  <si>
    <t>SA</t>
  </si>
  <si>
    <t>Ship</t>
  </si>
  <si>
    <t>Pipeline</t>
  </si>
  <si>
    <t>Ships</t>
  </si>
  <si>
    <t>Pipe</t>
  </si>
  <si>
    <t>INPUT</t>
  </si>
  <si>
    <t>CHPR~FX</t>
  </si>
  <si>
    <t>CHPR~UP</t>
  </si>
  <si>
    <t>CEH</t>
  </si>
  <si>
    <t>Peak</t>
  </si>
  <si>
    <t>ILED</t>
  </si>
  <si>
    <t>Fixed ELCC Input Share</t>
  </si>
  <si>
    <t>Electrical EFF/ heat efficiency for HOP</t>
  </si>
  <si>
    <t>1/Cb: 
Ratio of heat produced to electricity produced</t>
  </si>
  <si>
    <t>Cv: 
Ratio of electricity lost to heat gained</t>
  </si>
  <si>
    <t>Fraction of capacity in peak equations</t>
  </si>
  <si>
    <t>Lead Time between investment decision and actual availability of capacity (equal to construction time)</t>
  </si>
  <si>
    <t>Mkr/MW</t>
  </si>
  <si>
    <t>Mkr/PJ</t>
  </si>
  <si>
    <t>Construction time</t>
  </si>
  <si>
    <t>ELCWPE</t>
  </si>
  <si>
    <t>ELCWCH</t>
  </si>
  <si>
    <t>Comm-OUT-A</t>
  </si>
  <si>
    <t>Auxilary Output</t>
  </si>
  <si>
    <t>ELCBGA</t>
  </si>
  <si>
    <t>Output in given unit/PJ_input</t>
  </si>
  <si>
    <t>PJ</t>
  </si>
  <si>
    <t>MW</t>
  </si>
  <si>
    <t>OUTPUT</t>
  </si>
  <si>
    <t>CHP</t>
  </si>
  <si>
    <t>YES</t>
  </si>
  <si>
    <t>01  Advanced Pulverized Fuel Power Plant - Coal centralised - With CCS Post-combustion</t>
  </si>
  <si>
    <t>01  Advanced Pulverized Fuel Power Plant - Coal centralised - With CCS Oxyfuel-combustion</t>
  </si>
  <si>
    <t>05  Gas Turbine Combined Cycle - Steam Extraction centralised - With CCS Post-combustion</t>
  </si>
  <si>
    <t>05  Gas Turbine Combined Cycle - Steam Extraction centralised - With CCS Oxyfuel-combustion</t>
  </si>
  <si>
    <t>09  Biomass CHP, Steam Turbine - Woodchips Large with flue gas condensation centralised - With CCS Post-combustion</t>
  </si>
  <si>
    <t>09  Biomass CHP, Steam Turbine - Straw Large with flue gas condensation centralised - With CCS Post-combustion</t>
  </si>
  <si>
    <t>09  Biomass CHP, Steam Turbine - Woodchips Large with flue gas condensation centralised - With CCS Oxyfuel-combustion</t>
  </si>
  <si>
    <t>09  Biomass CHP, Steam Turbine - Straw Large with flue gas condensation centralised - With CCS Oxyfuel-combustion</t>
  </si>
  <si>
    <t>HPL</t>
  </si>
  <si>
    <t>43  District Heating Boiler, Biomass Fired - Wood Chips centralised - With CCS Post-combustion</t>
  </si>
  <si>
    <t>43  District Heating Boiler, Biomass Fired - Straw centralised - With CCS Post-combustion</t>
  </si>
  <si>
    <t>43XX  District Heating Boiler, Biomass Fired - wood pellets centralised - With CCS Post-combustion</t>
  </si>
  <si>
    <t>44  District Heating Boiler, Gas Fired centralised - With CCS Post-combustion</t>
  </si>
  <si>
    <t>43  District Heating Boiler, Biomass Fired - Wood Chips centralised - With CCS Oxyfuel-combustion</t>
  </si>
  <si>
    <t>43  District Heating Boiler, Biomass Fired - Straw centralised - With CCS Oxyfuel-combustion</t>
  </si>
  <si>
    <t>43XX  District Heating Boiler, Biomass Fired - wood pellets centralised - With CCS Oxyfuel-combustion</t>
  </si>
  <si>
    <t>44  District Heating Boiler, Gas Fired centralised - With CCS Oxyfuel-combustion</t>
  </si>
  <si>
    <t>Commodity Emissions</t>
  </si>
  <si>
    <t>Basic fuels</t>
  </si>
  <si>
    <t>kg/GJ = kt/PJ</t>
  </si>
  <si>
    <t>*Units</t>
  </si>
  <si>
    <t>kg/GJ</t>
  </si>
  <si>
    <t>Auxiliary Input</t>
  </si>
  <si>
    <t>INDWCH</t>
  </si>
  <si>
    <t>INDCOA</t>
  </si>
  <si>
    <t>DKK/EUR</t>
  </si>
  <si>
    <t>MDKK/MW</t>
  </si>
  <si>
    <t>MDKK/PJ</t>
  </si>
  <si>
    <t xml:space="preserve">Fixed ELCC </t>
  </si>
  <si>
    <t>PJ/PJ heat</t>
  </si>
  <si>
    <t>CCGT advanced CCS post combustion</t>
  </si>
  <si>
    <t>Technical</t>
  </si>
  <si>
    <t xml:space="preserve">Net electrical power </t>
  </si>
  <si>
    <t>Gross electrical power</t>
  </si>
  <si>
    <t>Thermal power</t>
  </si>
  <si>
    <t>Max. capacity factor</t>
  </si>
  <si>
    <t>%</t>
  </si>
  <si>
    <t>Avg. capacity factor</t>
  </si>
  <si>
    <t>Technical lifetime</t>
  </si>
  <si>
    <t>years</t>
  </si>
  <si>
    <t>Net efficiency (LHV)</t>
  </si>
  <si>
    <t>Efficiency loss from CCS</t>
  </si>
  <si>
    <r>
      <t>CO</t>
    </r>
    <r>
      <rPr>
        <b/>
        <vertAlign val="subscript"/>
        <sz val="10"/>
        <color rgb="FFFFFFFF"/>
        <rFont val="EC Square Sans Pro"/>
        <family val="2"/>
      </rPr>
      <t>2</t>
    </r>
    <r>
      <rPr>
        <b/>
        <sz val="10"/>
        <color rgb="FFFFFFFF"/>
        <rFont val="EC Square Sans Pro"/>
        <family val="2"/>
      </rPr>
      <t xml:space="preserve"> captured (only CCS)</t>
    </r>
  </si>
  <si>
    <t>Costs</t>
  </si>
  <si>
    <t xml:space="preserve">CAPEX ref </t>
  </si>
  <si>
    <r>
      <t>€</t>
    </r>
    <r>
      <rPr>
        <i/>
        <vertAlign val="subscript"/>
        <sz val="10"/>
        <color theme="1"/>
        <rFont val="EC Square Sans Pro"/>
        <family val="2"/>
      </rPr>
      <t>2013</t>
    </r>
    <r>
      <rPr>
        <i/>
        <sz val="10"/>
        <color theme="1"/>
        <rFont val="EC Square Sans Pro"/>
        <family val="2"/>
      </rPr>
      <t>/kWe</t>
    </r>
  </si>
  <si>
    <t xml:space="preserve">CAPEX low </t>
  </si>
  <si>
    <t xml:space="preserve">CAPEX high </t>
  </si>
  <si>
    <t>Quality of CAPEX estimate</t>
  </si>
  <si>
    <t>medium</t>
  </si>
  <si>
    <t>CAPEX learning rate</t>
  </si>
  <si>
    <t>-</t>
  </si>
  <si>
    <t xml:space="preserve">FOM </t>
  </si>
  <si>
    <t>% CAPEX ref.</t>
  </si>
  <si>
    <t xml:space="preserve">VOM </t>
  </si>
  <si>
    <r>
      <t>€</t>
    </r>
    <r>
      <rPr>
        <i/>
        <vertAlign val="subscript"/>
        <sz val="10"/>
        <color theme="1"/>
        <rFont val="EC Square Sans Pro"/>
        <family val="2"/>
      </rPr>
      <t>2013</t>
    </r>
    <r>
      <rPr>
        <i/>
        <sz val="10"/>
        <color theme="1"/>
        <rFont val="EC Square Sans Pro"/>
        <family val="2"/>
      </rPr>
      <t>/MWh</t>
    </r>
  </si>
  <si>
    <t>Transport storage cost</t>
  </si>
  <si>
    <t xml:space="preserve">No. staff / year </t>
  </si>
  <si>
    <t>Environmental</t>
  </si>
  <si>
    <t xml:space="preserve">Direct GHG emissions </t>
  </si>
  <si>
    <r>
      <t>tCO</t>
    </r>
    <r>
      <rPr>
        <i/>
        <vertAlign val="subscript"/>
        <sz val="10"/>
        <color theme="1"/>
        <rFont val="EC Square Sans Pro"/>
        <family val="2"/>
      </rPr>
      <t>2</t>
    </r>
    <r>
      <rPr>
        <i/>
        <sz val="10"/>
        <color theme="1"/>
        <rFont val="EC Square Sans Pro"/>
        <family val="2"/>
      </rPr>
      <t>(eq)/GWh</t>
    </r>
  </si>
  <si>
    <t xml:space="preserve">Indirect GHG emissions </t>
  </si>
  <si>
    <t>Water consumed</t>
  </si>
  <si>
    <t>l/kWh</t>
  </si>
  <si>
    <t>Water withdrawn</t>
  </si>
  <si>
    <t>Evolution</t>
  </si>
  <si>
    <t xml:space="preserve">Max. potential </t>
  </si>
  <si>
    <t>GWe</t>
  </si>
  <si>
    <t>Pulverised coal supercritical CCS post-combustion</t>
  </si>
  <si>
    <t xml:space="preserve">Max potential </t>
  </si>
  <si>
    <t>Fluidised bed lignite CCS post combustion</t>
  </si>
  <si>
    <t>Pulverised coal supercritical CCS oxyfuel.</t>
  </si>
  <si>
    <t xml:space="preserve">FOM learning rate </t>
  </si>
  <si>
    <t>IGCC CCS pre-combustion.</t>
  </si>
  <si>
    <t>IGCC lignite CCS pre combustion.</t>
  </si>
  <si>
    <r>
      <t>Transport/storage cost CO</t>
    </r>
    <r>
      <rPr>
        <b/>
        <vertAlign val="subscript"/>
        <sz val="10"/>
        <color rgb="FFFFFFFF"/>
        <rFont val="EC Square Sans Pro"/>
        <family val="2"/>
      </rPr>
      <t>2</t>
    </r>
  </si>
  <si>
    <t>Integrated Gasification Combined Cycle lignite</t>
  </si>
  <si>
    <t>Owner's cost</t>
  </si>
  <si>
    <t>Project indirect costs</t>
  </si>
  <si>
    <t>Electrical and I&amp;C supply and installation</t>
  </si>
  <si>
    <t>Mechanical equipment supply and installation costs</t>
  </si>
  <si>
    <t>Civil and structural costs</t>
  </si>
  <si>
    <t>CAPEX breakdown</t>
  </si>
  <si>
    <t>Integrated Gasification Combined Cycle coal</t>
  </si>
  <si>
    <t>Supercritical fluidized bed lignite</t>
  </si>
  <si>
    <t xml:space="preserve">No. staff </t>
  </si>
  <si>
    <t>FOM learning rate</t>
  </si>
  <si>
    <t>Pulverised lignite supercritical.</t>
  </si>
  <si>
    <t xml:space="preserve">Net efficiency (LHV) </t>
  </si>
  <si>
    <t>Pulverised coal supercritical.</t>
  </si>
  <si>
    <t>Combined Cycle Gas Turbine advanced.</t>
  </si>
  <si>
    <t>Open Cycle Gas Turbine advanced</t>
  </si>
  <si>
    <t>n/a</t>
  </si>
  <si>
    <t>Quality CAPEX estimate</t>
  </si>
  <si>
    <t>Open-Cycle Gas Turbine conventional</t>
  </si>
  <si>
    <t xml:space="preserve">Source on CCS power generating plants. The source for power and heat production however is based on the Danish energy agencies Technology Catalogue. These sources are entirely used to find the cost the CCS process. </t>
  </si>
  <si>
    <t>https://setis.ec.europa.eu/sites/default/files/reports/ETRI-2014.pdf</t>
  </si>
  <si>
    <t>It has been assumed that the price on the CCS process for all solid fuels are similar to the one for Coal power production</t>
  </si>
  <si>
    <t>Assumptions</t>
  </si>
  <si>
    <t>The Industrial heating plants, who are able to establish CCS comes at the same costs as for the Power and Heating sector</t>
  </si>
  <si>
    <t>Industrial processes and heating plants, with no electricity generation, using CCS have an aditional electricity consumption based on the loss of efficiency for Power plants</t>
  </si>
  <si>
    <t>Loss of Efficiency recalculation</t>
  </si>
  <si>
    <t>Total efficiency</t>
  </si>
  <si>
    <t>Loss in efficiency</t>
  </si>
  <si>
    <t>Electricity consumption relative to the output</t>
  </si>
  <si>
    <t>It is assumed only Oxy and Post combustion technolgies are avaiable for heating only plants as the benefits from gasifyring before production primarily benefits power generating technologies, due to higher electrical efficiencies.</t>
  </si>
  <si>
    <t>From SubRes ELC_Techs the corosponding standard heating technology</t>
  </si>
  <si>
    <t>*Total EFF</t>
  </si>
  <si>
    <t>Total Efficiency</t>
  </si>
  <si>
    <t>*Cb-value</t>
  </si>
  <si>
    <t xml:space="preserve">Backpres-sure coef-ficient </t>
  </si>
  <si>
    <t>OLD</t>
  </si>
  <si>
    <t>NEW</t>
  </si>
  <si>
    <t>01  Advanced Pulverized Fuel Power Plant - Wood Pellets centralised - With CCS Post-combustion</t>
  </si>
  <si>
    <t>01  Advanced Pulverized Fuel Power Plant - Wood Pellets centralised - With CCS Oxyfuel-combustion</t>
  </si>
  <si>
    <t>08  Waste-to-Energy CHP Plant centralised - Large - With CCS Post-combustion</t>
  </si>
  <si>
    <t>08  Waste-to-Energy CHP Plant centralised - Large - With CCS Oxyfuel-combustion</t>
  </si>
  <si>
    <t>INDELC</t>
  </si>
  <si>
    <t>SUPELC</t>
  </si>
  <si>
    <t>CCXCO2</t>
  </si>
  <si>
    <t>PJ/kt CO2</t>
  </si>
  <si>
    <t>Efficiency gas to CO2</t>
  </si>
  <si>
    <t>PJ gas /kt CO2</t>
  </si>
  <si>
    <t>MKr/kt</t>
  </si>
  <si>
    <t>MKr/kt/year</t>
  </si>
  <si>
    <t>kta</t>
  </si>
  <si>
    <t>Source: McKinsey and company. “Carbon capture and Storage: Assessing the Economics”.
In: (2008), pages 1–53.</t>
  </si>
  <si>
    <t>Mikkel Bosack Simonsen</t>
  </si>
  <si>
    <t>ELC_CCS_STO</t>
  </si>
  <si>
    <t>Updated values according to Sources.</t>
  </si>
  <si>
    <t>MDKK/ktCO2</t>
  </si>
  <si>
    <t>OPEX per kt CO2 stored</t>
  </si>
  <si>
    <t>CAPEX per kt CO2 stored</t>
  </si>
  <si>
    <t>MDKK/ktCO2/annual</t>
  </si>
  <si>
    <t>VAROM posisible transport costs</t>
  </si>
  <si>
    <t>MDKK/kt</t>
  </si>
  <si>
    <t>dkk/t co2</t>
  </si>
  <si>
    <t>kt Co2</t>
  </si>
  <si>
    <t>MDKK</t>
  </si>
  <si>
    <t>MEUR</t>
  </si>
  <si>
    <t>EUR/t CO2</t>
  </si>
  <si>
    <t>MDKK/ktA CO2</t>
  </si>
  <si>
    <t>MEUR/ktA CO2</t>
  </si>
  <si>
    <t>Onshore</t>
  </si>
  <si>
    <t>Offshore</t>
  </si>
  <si>
    <t>Depleted oil/gas Fields</t>
  </si>
  <si>
    <t>Saline aquifer</t>
  </si>
  <si>
    <t>Opex storage of CO2</t>
  </si>
  <si>
    <t>MEUR/kta CO2</t>
  </si>
  <si>
    <t>MDKK/kta CO2</t>
  </si>
  <si>
    <t>Investment costs calculations for starage facilities, based on best geuss regarding well amount in order to match reports annual investment costs. In order to do so the calculation assume the amount of stored CO2 is equal to 3 900 MW coal power plants emission for 12 years</t>
  </si>
  <si>
    <t>FX</t>
  </si>
  <si>
    <t>ELC_CCS_Comm</t>
  </si>
  <si>
    <t>Applied fixed bound on balance equation to waste (no overproduction)</t>
  </si>
  <si>
    <t>CO2STODTS</t>
  </si>
  <si>
    <t>CO2STODGS</t>
  </si>
  <si>
    <t>CO2STODGA</t>
  </si>
  <si>
    <t>CO2STONSF</t>
  </si>
  <si>
    <t>CO2STODZS</t>
  </si>
  <si>
    <t>CO2STOSAA</t>
  </si>
  <si>
    <t>CO2STODHS</t>
  </si>
  <si>
    <t>CO2STO</t>
  </si>
  <si>
    <t>Carbon storage unit - total amount</t>
  </si>
  <si>
    <t>Wood Chips</t>
  </si>
  <si>
    <t>Biogas</t>
  </si>
  <si>
    <t>Wood Pellets</t>
  </si>
  <si>
    <t>Wave</t>
  </si>
  <si>
    <t>ELCSOL</t>
  </si>
  <si>
    <t>ELCWAV</t>
  </si>
  <si>
    <t>CO2</t>
  </si>
  <si>
    <t>Transport costs in pipelines are calculated based on the report: Carbon Capture &amp; Storage:
Assessing the Economics, McKinsey&amp;Company</t>
  </si>
  <si>
    <t>The report are deemed useable, allthough the dta is from 2008 as gas and CCS pipelines have been well deleveop for several years</t>
  </si>
  <si>
    <t>Costs are calculated based on a commecial setup for CCS in Denmark, as it has been assumed Denmarks devotion in CCS so far has been very limited and will therefore only include the technology if it has been proven mature</t>
  </si>
  <si>
    <t>Transport by pipeline is estimated to be</t>
  </si>
  <si>
    <t>km onshroe</t>
  </si>
  <si>
    <t>km offshore</t>
  </si>
  <si>
    <t>Cost for pipeline with annual fixed cost equal to 1 % of investment costs</t>
  </si>
  <si>
    <t>million EUR</t>
  </si>
  <si>
    <t>lifetime is set to be 40 years</t>
  </si>
  <si>
    <t>Capacity of pipeline is calculated based on 3 900 MW powerplants with an 50 % efficiency (40 % after electricty consumption by CCS) with a full load of 4500 hours and 40 year lifespan</t>
  </si>
  <si>
    <t>PJ fuel consumed by powerplants annual</t>
  </si>
  <si>
    <t>kt CO2 emitted with Coal as fuel annual</t>
  </si>
  <si>
    <t>Investment cost calculated based on annual kt CO2 capacity</t>
  </si>
  <si>
    <t>Mkr/kta CO2</t>
  </si>
  <si>
    <t>Simple calculation of total transport of CO2 price with 4% interest on investment</t>
  </si>
  <si>
    <t>DKK/t CO2</t>
  </si>
  <si>
    <t>Transport by Ship is based on Gao, 2011 with estimated 5.3 USD/t CO2 for shipping of 300 km</t>
  </si>
  <si>
    <t>DKK/km transported t CO2</t>
  </si>
  <si>
    <t>FLO_COST</t>
  </si>
  <si>
    <t>Investment costs</t>
  </si>
  <si>
    <t>Fixed operation costs</t>
  </si>
  <si>
    <t>DKK/t CO2 transported</t>
  </si>
  <si>
    <t>Mkr/Kta</t>
  </si>
  <si>
    <t>Mkr/Kt</t>
  </si>
  <si>
    <t>Mkr/kt CO2</t>
  </si>
  <si>
    <t>CO2 storage - Thisted structure</t>
  </si>
  <si>
    <t>CO2 storage - Gassum structure</t>
  </si>
  <si>
    <t>CO2 storage - Gassum Aquifer</t>
  </si>
  <si>
    <t>CO2 storage - Norway southern hydrocarbon fields</t>
  </si>
  <si>
    <t>CO2 storage - Accumulated West/Southern Zealand (Havnsø, Stenlille, Rødby)</t>
  </si>
  <si>
    <t>CO2 storage - Anager Greensand + Höganäs - Rya storage unit</t>
  </si>
  <si>
    <t>Output in given unit/PJ_output</t>
  </si>
  <si>
    <t>Hydro carbon</t>
  </si>
  <si>
    <t>Voldum</t>
  </si>
  <si>
    <t>Stord</t>
  </si>
  <si>
    <t>Vedsted</t>
  </si>
  <si>
    <t>Hugin</t>
  </si>
  <si>
    <t>Tønder</t>
  </si>
  <si>
    <t>Fiskerbanke</t>
  </si>
  <si>
    <t>Thisted</t>
  </si>
  <si>
    <t>Johannes and Cook</t>
  </si>
  <si>
    <t>Stenlille</t>
  </si>
  <si>
    <t>Gassum</t>
  </si>
  <si>
    <t>Rødby</t>
  </si>
  <si>
    <t>Stratfjord</t>
  </si>
  <si>
    <t>Paarup</t>
  </si>
  <si>
    <t>Sognefjord</t>
  </si>
  <si>
    <t>Havnsø</t>
  </si>
  <si>
    <t>Bryne/Sanders</t>
  </si>
  <si>
    <t>Utsira and Skade</t>
  </si>
  <si>
    <t>Hanstholm</t>
  </si>
  <si>
    <t>Mt</t>
  </si>
  <si>
    <t>Gt</t>
  </si>
  <si>
    <t>Norway</t>
  </si>
  <si>
    <t>Denmark</t>
  </si>
  <si>
    <t>Investigation made by [15]</t>
  </si>
  <si>
    <t>Sweden</t>
  </si>
  <si>
    <t>Höganäs-Rya</t>
  </si>
  <si>
    <t>S</t>
  </si>
  <si>
    <t>Arnager Greensand</t>
  </si>
  <si>
    <t>T</t>
  </si>
  <si>
    <t>Faludden</t>
  </si>
  <si>
    <t xml:space="preserve">Gassum St. </t>
  </si>
  <si>
    <t>Demark/Norway</t>
  </si>
  <si>
    <t>Gassum Aq.</t>
  </si>
  <si>
    <t>Havnsø fm</t>
  </si>
  <si>
    <t>Garn formation</t>
  </si>
  <si>
    <t>Sognefjord formation</t>
  </si>
  <si>
    <t>Johansen formation</t>
  </si>
  <si>
    <t>Utsari formation</t>
  </si>
  <si>
    <t>Frigg formation</t>
  </si>
  <si>
    <t>Theretical capacity (Gt)</t>
  </si>
  <si>
    <t>Knowledge (-78 lowest and 0 highest)</t>
  </si>
  <si>
    <t>Country</t>
  </si>
  <si>
    <t>Places</t>
  </si>
  <si>
    <t>Storage/Traps</t>
  </si>
  <si>
    <t>These numbers are based on investigation made by [17]</t>
  </si>
  <si>
    <t>Long distance</t>
  </si>
  <si>
    <t>Medium distance</t>
  </si>
  <si>
    <t>Small distance</t>
  </si>
  <si>
    <t>Accumulated storage Cap, Gt</t>
  </si>
  <si>
    <t>Average distance</t>
  </si>
  <si>
    <t>SE1</t>
  </si>
  <si>
    <t>SE2</t>
  </si>
  <si>
    <t>Hydrocarbon</t>
  </si>
  <si>
    <t>Saline</t>
  </si>
  <si>
    <t>Distance set from google with the influence of [17] (Didnt match that well with Google which said it was 700 km)</t>
  </si>
  <si>
    <t>[17, 15, 14]</t>
  </si>
  <si>
    <t>Distance set from [17]</t>
  </si>
  <si>
    <t>Luleå Hub</t>
  </si>
  <si>
    <t>Timrå Hub</t>
  </si>
  <si>
    <t>Note</t>
  </si>
  <si>
    <t>Ref.</t>
  </si>
  <si>
    <t>Ship distance [km]</t>
  </si>
  <si>
    <t>Distances[km]</t>
  </si>
  <si>
    <t>Capacity [Gt]</t>
  </si>
  <si>
    <t>Onshore/offshore</t>
  </si>
  <si>
    <t>Number in figure</t>
  </si>
  <si>
    <t xml:space="preserve">Choices </t>
  </si>
  <si>
    <t>Emissions [Mtpa]</t>
  </si>
  <si>
    <t>Region</t>
  </si>
  <si>
    <t>Very uncertain (Seet through google maps and eyeballing)</t>
  </si>
  <si>
    <t>Bothnia bay</t>
  </si>
  <si>
    <t>Case</t>
  </si>
  <si>
    <t>Oxelösund</t>
  </si>
  <si>
    <t>Average case</t>
  </si>
  <si>
    <t>Lysekil</t>
  </si>
  <si>
    <t>Distance taken from [17]</t>
  </si>
  <si>
    <t>Distance sest from google</t>
  </si>
  <si>
    <t>Oxelösund Hub</t>
  </si>
  <si>
    <t>SE3</t>
  </si>
  <si>
    <t>Distance taken from [17] (Assumed distance)</t>
  </si>
  <si>
    <t>Norways southern hydrocarbon fields</t>
  </si>
  <si>
    <t>Carbon</t>
  </si>
  <si>
    <t>Norways southern formations</t>
  </si>
  <si>
    <t>Consider also the ship distance</t>
  </si>
  <si>
    <t>Anager Greensand + Höganäs - Rya storage unit</t>
  </si>
  <si>
    <t>Denmark/Norway</t>
  </si>
  <si>
    <t>Lysekil Hub</t>
  </si>
  <si>
    <t>Skagerak and Baltic sea</t>
  </si>
  <si>
    <t>Ref on distance: https://www.freemaptools.com/measure-distance.htm  and for the Utsari it is [17]</t>
  </si>
  <si>
    <t>Bergen Hub(Steel production, refineries)</t>
  </si>
  <si>
    <t>NO5</t>
  </si>
  <si>
    <t>North sea and Barent sea</t>
  </si>
  <si>
    <t>Stavanger Hub(Steel production, refineries)</t>
  </si>
  <si>
    <t>NO2</t>
  </si>
  <si>
    <t>Gran formation</t>
  </si>
  <si>
    <t>4c</t>
  </si>
  <si>
    <t>Norway northern hydrocarbon fields</t>
  </si>
  <si>
    <t>4b</t>
  </si>
  <si>
    <t>Norway middle hydrocarbon fields</t>
  </si>
  <si>
    <t>4a</t>
  </si>
  <si>
    <t>Norway southern hydrocarbon fields</t>
  </si>
  <si>
    <t>Norway South accumulated (Heimdal, Frigg, Krossfjord, Flensfjord, Johannes, Skade, Sognefjord, Statfjord)</t>
  </si>
  <si>
    <t>Hanstholm structure</t>
  </si>
  <si>
    <t>This distance is set from [17]</t>
  </si>
  <si>
    <t>Gassum Aquifer</t>
  </si>
  <si>
    <t>Brevik Hub (NorCem, Yara)</t>
  </si>
  <si>
    <t>NO1</t>
  </si>
  <si>
    <t xml:space="preserve">Skagerak </t>
  </si>
  <si>
    <t>DK2</t>
  </si>
  <si>
    <t>Saline formations</t>
  </si>
  <si>
    <t>Pipe, ships</t>
  </si>
  <si>
    <t>Pipe onshore,  trucks, trains</t>
  </si>
  <si>
    <t>Networks identified</t>
  </si>
  <si>
    <t>DK1</t>
  </si>
  <si>
    <t>&lt;500</t>
  </si>
  <si>
    <t>Long distances</t>
  </si>
  <si>
    <t>These are divided accourding to ZEP which works with the distances 180, 500, 750, 1500</t>
  </si>
  <si>
    <t>&lt;180-500</t>
  </si>
  <si>
    <t>Medium distances</t>
  </si>
  <si>
    <t>0-180</t>
  </si>
  <si>
    <t>Small distances</t>
  </si>
  <si>
    <t>Now the upper numbers are accumulated to make it easier to handle when modelling, the storages are divided into</t>
  </si>
  <si>
    <t>SUM</t>
  </si>
  <si>
    <t>It is assumed that there are 3 large hydrocarbon fields in Norway, but it has been hard to find the capacity of each field, so it has been assumed that 1/3 is divided between the different fields</t>
  </si>
  <si>
    <t>Here the Nordic hub is set to be in Ålborg, as a large cement production (Ålborg portland) happens here</t>
  </si>
  <si>
    <t>Google says 330</t>
  </si>
  <si>
    <t>Hvidovre Hub</t>
  </si>
  <si>
    <t>Accumulated West/Southern Zealand (Havnsø, Stenlille, Rødby)</t>
  </si>
  <si>
    <t>Accumulated Mid/Southern Jutland (Voldum, Paarum, Tønder formations)</t>
  </si>
  <si>
    <t>Gassum structure</t>
  </si>
  <si>
    <t>Thisted structure</t>
  </si>
  <si>
    <t>Based on the cases put up in [14] and [17] these are the potentials for western Denmark,</t>
  </si>
  <si>
    <t>Ålborg Hub</t>
  </si>
  <si>
    <t>Types</t>
  </si>
  <si>
    <t>For this there is going to be set up some different cases in terms of transportation, these take basis on the study Ragnhild Skadestad et. Al. [14]</t>
  </si>
  <si>
    <t>As can be seen not all storage potentials are placed in the same distance according to all regions. Therefore a need for defining a price for each region is needed.</t>
  </si>
  <si>
    <t>SOFF</t>
  </si>
  <si>
    <t>SFA</t>
  </si>
  <si>
    <t>DK1, DK2, SE1, SE2, SE3</t>
  </si>
  <si>
    <t>SAA</t>
  </si>
  <si>
    <t>Large</t>
  </si>
  <si>
    <t>Medium</t>
  </si>
  <si>
    <t>Small</t>
  </si>
  <si>
    <t>NO1, NO2, NO5</t>
  </si>
  <si>
    <t>OF</t>
  </si>
  <si>
    <t>ON</t>
  </si>
  <si>
    <t>HC</t>
  </si>
  <si>
    <t>SNF</t>
  </si>
  <si>
    <t>SMF</t>
  </si>
  <si>
    <t>NSF</t>
  </si>
  <si>
    <t>DK1, DK2, NO1, NO2, NO5, SE3</t>
  </si>
  <si>
    <t>NSA</t>
  </si>
  <si>
    <t>SON</t>
  </si>
  <si>
    <t>DHF</t>
  </si>
  <si>
    <t>Hydrocarbon fields Denmark</t>
  </si>
  <si>
    <t>DK1, DK2</t>
  </si>
  <si>
    <t>DZS</t>
  </si>
  <si>
    <t>DJS</t>
  </si>
  <si>
    <t>DGS</t>
  </si>
  <si>
    <t>DTS</t>
  </si>
  <si>
    <t>DHS</t>
  </si>
  <si>
    <t>DGA</t>
  </si>
  <si>
    <t>in MtCO2</t>
  </si>
  <si>
    <t>Divided capacities</t>
  </si>
  <si>
    <t>Capacities</t>
  </si>
  <si>
    <t>Abriviation</t>
  </si>
  <si>
    <t xml:space="preserve">Identified storages </t>
  </si>
  <si>
    <t>Countries</t>
  </si>
  <si>
    <t>Connected regions</t>
  </si>
  <si>
    <t>Number of connected regions</t>
  </si>
  <si>
    <t>Regions</t>
  </si>
  <si>
    <t>Off</t>
  </si>
  <si>
    <t>On</t>
  </si>
  <si>
    <t>Distances</t>
  </si>
  <si>
    <t>From SIMONS thesis, includes notes and sources</t>
  </si>
  <si>
    <t>Storage potentials per location</t>
  </si>
  <si>
    <t>NMF</t>
  </si>
  <si>
    <t>SE4</t>
  </si>
  <si>
    <t>As can be seen the storage potentials in the North are given by:</t>
  </si>
  <si>
    <t>Distance</t>
  </si>
  <si>
    <t>&gt;processname</t>
  </si>
  <si>
    <t>Summarised distances to storage units, depending on location for capturing. It has been assumed the nearst storage units are utilised e.g. the model does not nessesary include the benifit from extreme large scale units</t>
  </si>
  <si>
    <t>Hydrocarbon fields (Offshore)</t>
  </si>
  <si>
    <t>Saline aquifers offshore</t>
  </si>
  <si>
    <t>This is however only done for Norway, Sweden and Denmark, as these are the regions within the Nord Pool, which are known</t>
  </si>
  <si>
    <t>Saline aquifers onshore</t>
  </si>
  <si>
    <t>It is wanted to investigate the transport possibilities for CO2 within the different defined regions of Balmorel and TIMES-Scan</t>
  </si>
  <si>
    <t>Regional investigation of potentials</t>
  </si>
  <si>
    <t>Cost for storage of CO2, based on "McKinsey and company" and "ZEP, 2011, Cost of carbon storage"</t>
  </si>
  <si>
    <t>From the DTU note "Screening of CCS adn CCR"</t>
  </si>
  <si>
    <t>DKK/t CO2 stored</t>
  </si>
  <si>
    <t>Check value</t>
  </si>
  <si>
    <t>Emissions coeficient - activity based</t>
  </si>
  <si>
    <t>ton/PJ</t>
  </si>
  <si>
    <t>ELC Biogenic captured CO2</t>
  </si>
  <si>
    <t>ELC Fossil captured CO2</t>
  </si>
  <si>
    <t>IND Biogenic captured CO2</t>
  </si>
  <si>
    <t>IND Fossil captured CO2</t>
  </si>
  <si>
    <t>CO2BIOE</t>
  </si>
  <si>
    <t>CO2FOSE</t>
  </si>
  <si>
    <t>CO2BIOI</t>
  </si>
  <si>
    <t>CO2FOSI</t>
  </si>
  <si>
    <t>ELCBGA,ELCSNG,ELCNGA</t>
  </si>
  <si>
    <t>Industrial heating technology Glass &amp; Concrete HT - Coal boiler - CO2 capture Retrofit</t>
  </si>
  <si>
    <t>*Refit tech</t>
  </si>
  <si>
    <t>Retrofit of following technology</t>
  </si>
  <si>
    <t>HETC</t>
  </si>
  <si>
    <t>CO2 storage - Danish Hydrocarbon fields</t>
  </si>
  <si>
    <t>EMISSIONS~ELCNOX</t>
  </si>
  <si>
    <t>EMISSIONS~ELCCH4</t>
  </si>
  <si>
    <t>EMISSIONS~ELCN2O</t>
  </si>
  <si>
    <t>EMISSIONS~ELCSO2</t>
  </si>
  <si>
    <t>EMISSIONS~ELCPM</t>
  </si>
  <si>
    <t>NRG</t>
  </si>
  <si>
    <t>IGDHT</t>
  </si>
  <si>
    <t>IGDMT</t>
  </si>
  <si>
    <t>INDGDHTBNGAE1</t>
  </si>
  <si>
    <t>SUPDACELC5N</t>
  </si>
  <si>
    <t>Technology</t>
  </si>
  <si>
    <t>Post-combustion carbon capture retrofit - 100 MW(th) WtE or biomass CHP plant</t>
  </si>
  <si>
    <t>Uncertainty (2025)</t>
  </si>
  <si>
    <t>Uncertainty (2050)</t>
  </si>
  <si>
    <t>Ref</t>
  </si>
  <si>
    <t>Lower</t>
  </si>
  <si>
    <t>Upper</t>
  </si>
  <si>
    <t>Energy/technical data</t>
  </si>
  <si>
    <r>
      <t>Typical total plant capacity (t CO2</t>
    </r>
    <r>
      <rPr>
        <vertAlign val="subscript"/>
        <sz val="8"/>
        <rFont val="Calibri"/>
        <family val="2"/>
        <scheme val="minor"/>
      </rPr>
      <t xml:space="preserve"> </t>
    </r>
    <r>
      <rPr>
        <sz val="8"/>
        <rFont val="Calibri"/>
        <family val="2"/>
        <scheme val="minor"/>
      </rPr>
      <t xml:space="preserve"> output / hour)</t>
    </r>
  </si>
  <si>
    <t>A</t>
  </si>
  <si>
    <t>- Inputs at max capacity</t>
  </si>
  <si>
    <t xml:space="preserve">A) Mass of Fluegas (t/t CO2 output) </t>
  </si>
  <si>
    <r>
      <t>B1) CO</t>
    </r>
    <r>
      <rPr>
        <vertAlign val="subscript"/>
        <sz val="8"/>
        <rFont val="Calibri"/>
        <family val="2"/>
        <scheme val="minor"/>
      </rPr>
      <t>2</t>
    </r>
    <r>
      <rPr>
        <sz val="8"/>
        <rFont val="Calibri"/>
        <family val="2"/>
        <scheme val="minor"/>
      </rPr>
      <t xml:space="preserve"> share in fluegas input (%-vol, dry)</t>
    </r>
  </si>
  <si>
    <r>
      <t>B2) Flue gas temperature (0</t>
    </r>
    <r>
      <rPr>
        <sz val="8"/>
        <rFont val="Symbol"/>
        <family val="1"/>
        <charset val="2"/>
      </rPr>
      <t>°</t>
    </r>
    <r>
      <rPr>
        <sz val="8"/>
        <rFont val="Calibri"/>
        <family val="2"/>
        <scheme val="minor"/>
      </rPr>
      <t>C)</t>
    </r>
  </si>
  <si>
    <t>B</t>
  </si>
  <si>
    <t xml:space="preserve">C1) Heat  input (MWh/t CO2-output) </t>
  </si>
  <si>
    <t>C</t>
  </si>
  <si>
    <t xml:space="preserve">C2) Eletricity input (MWh/t CO2-output) </t>
  </si>
  <si>
    <t>D</t>
  </si>
  <si>
    <t xml:space="preserve">C3)  Amine make-up (kg/t CO2-output) </t>
  </si>
  <si>
    <r>
      <t>Y)  Auxiliary products inputs (kg/t CO2-output</t>
    </r>
    <r>
      <rPr>
        <vertAlign val="subscript"/>
        <sz val="8"/>
        <rFont val="Calibri"/>
        <family val="2"/>
        <scheme val="minor"/>
      </rPr>
      <t xml:space="preserve"> </t>
    </r>
    <r>
      <rPr>
        <sz val="8"/>
        <rFont val="Calibri"/>
        <family val="2"/>
        <scheme val="minor"/>
      </rPr>
      <t xml:space="preserve">) </t>
    </r>
  </si>
  <si>
    <t>- Outputs at max capacity</t>
  </si>
  <si>
    <t>A2) CO2 purity prior to post cleaning (% vol)</t>
  </si>
  <si>
    <t>E</t>
  </si>
  <si>
    <t>A3) Total pressure of CO2 gas (kPa(a))</t>
  </si>
  <si>
    <t>F</t>
  </si>
  <si>
    <r>
      <t>Ax) CO</t>
    </r>
    <r>
      <rPr>
        <vertAlign val="subscript"/>
        <sz val="8"/>
        <rFont val="Calibri"/>
        <family val="2"/>
        <scheme val="minor"/>
      </rPr>
      <t>2</t>
    </r>
    <r>
      <rPr>
        <sz val="8"/>
        <rFont val="Calibri"/>
        <family val="2"/>
        <scheme val="minor"/>
      </rPr>
      <t xml:space="preserve"> capture rate, net (%)</t>
    </r>
  </si>
  <si>
    <t>G</t>
  </si>
  <si>
    <t xml:space="preserve">C1) Heat out (MWh/t CO2-output) </t>
  </si>
  <si>
    <r>
      <t>C2) Temperature of heat out (</t>
    </r>
    <r>
      <rPr>
        <sz val="8"/>
        <rFont val="Symbol"/>
        <family val="1"/>
        <charset val="2"/>
      </rPr>
      <t>°</t>
    </r>
    <r>
      <rPr>
        <sz val="8"/>
        <rFont val="Calibri"/>
        <family val="2"/>
        <scheme val="minor"/>
      </rPr>
      <t>C)</t>
    </r>
  </si>
  <si>
    <t>H</t>
  </si>
  <si>
    <t>X) Other Non-energy outputs (kg/t CO2-output)</t>
  </si>
  <si>
    <t>- other technical data</t>
  </si>
  <si>
    <t>Forced outage (%)</t>
  </si>
  <si>
    <t>Planned outage (weeks per year)</t>
  </si>
  <si>
    <t>Technical lifetime (years)</t>
  </si>
  <si>
    <t>Construction time (years)</t>
  </si>
  <si>
    <t xml:space="preserve">Financial data                                 </t>
  </si>
  <si>
    <t>Specific investment (mill € /[t CO2 output/hour])</t>
  </si>
  <si>
    <t>I</t>
  </si>
  <si>
    <t xml:space="preserve"> - hereof capture plant (%)</t>
  </si>
  <si>
    <t>J</t>
  </si>
  <si>
    <t xml:space="preserve"> - hereof CO₂ compression&amp;dehydration (%)</t>
  </si>
  <si>
    <t>K</t>
  </si>
  <si>
    <t>- hereof utilities &amp; flue gas integration (%)</t>
  </si>
  <si>
    <t xml:space="preserve"> - hereof heat integration (%)</t>
  </si>
  <si>
    <t>L</t>
  </si>
  <si>
    <t xml:space="preserve"> - hereof Owner's cost (%)</t>
  </si>
  <si>
    <t>Fixed O&amp;M (mill € /[t CO2 output/Hour])</t>
  </si>
  <si>
    <t>M</t>
  </si>
  <si>
    <t>Variable O&amp;M (€ per t CO2 output)</t>
  </si>
  <si>
    <t>Startup cost (€ per startup/[t CO2/hour])</t>
  </si>
  <si>
    <t xml:space="preserve">Technology specific data                                 </t>
  </si>
  <si>
    <t>CO₂ compression and dehydration - Electricity input (MWh/t CO₂ output)</t>
  </si>
  <si>
    <t>N</t>
  </si>
  <si>
    <t>CO₂ compression and dehydration - Heat out (MWh/t CO₂ output)</t>
  </si>
  <si>
    <t>References</t>
  </si>
  <si>
    <t>Notes</t>
  </si>
  <si>
    <t>CC capacity is chosen to match flue gas flow and CO₂ emission from a 100 MWth biomass boiler. Larger capacites available today if required.</t>
  </si>
  <si>
    <t>The biomass CHP is assumed to be equipped with flue gas condensation, hence flue gas is available at 35 deg. C</t>
  </si>
  <si>
    <t>Heat is supplied as low pressure steam 3-5 bara and (130-150 deg. C)</t>
  </si>
  <si>
    <t>Electricity consumption includes additional CC plant, flue gas fan work and cooling water pumps, but no ID cooling tower, other utilities. CO₂ compression and drying not included.</t>
  </si>
  <si>
    <t>Purity given on wet basis. On dry basis purity is &gt;99.95%vol</t>
  </si>
  <si>
    <t>CO₂ pressure at outlet flange. Future processes is expected to deliver CO₂ at higher pressure (save compression work)</t>
  </si>
  <si>
    <t>The CO₂ capture percentage from the flue gas is expected to increase from today's 90% to 95% in 2050.</t>
  </si>
  <si>
    <t>20% of heat is available at 80 deg. C, 80% is available at 50 deg C. The reported 60 deg C is an weighed average.</t>
  </si>
  <si>
    <t>Total cost including site integration and CO₂ compression. CAPEX is expected to decrease by 40% in 2050 as the market develops. Total capital investment is calculated as plant capacity (t CO₂ output/h) multiplied by the specific investment cost</t>
  </si>
  <si>
    <t>If the CHP is euipped with flue gas condensation to &lt;40 deg C the precooler of the CC plant may be omitted. The CC plant cost can in that case be reduced with 5% and the utility cost with 20% (because of less cooling requirement)</t>
  </si>
  <si>
    <t>If CO₂ should be delivered liquefied for truck or road transport, a liquefaction plant must be added hence increase this post with 50% + interim storage (specified in chapter on CO₂ transport of Technology Catalogue)</t>
  </si>
  <si>
    <t>Substantial cost have been included for heat integration which covers steam turbine modification, coupling to district heating net. Heat pump technology for upgrade of low temp waste heat not included.</t>
  </si>
  <si>
    <t>Fixed O&amp;M is taken as 3% of CAPEX</t>
  </si>
  <si>
    <t>Assume compression from CC plant outlet pressure to 150 bar and drying to &lt; 50 ppmv H₂O. Specific power consumption decrease with time as CO₂ is delivered at increasingly higher pressure from the CC plant</t>
  </si>
  <si>
    <t>Post-combustion carbon capture retrofit - 500 MW(th) biomass-fired boiler</t>
  </si>
  <si>
    <r>
      <t>B2) Flue gas temperature (</t>
    </r>
    <r>
      <rPr>
        <sz val="8"/>
        <rFont val="Symbol"/>
        <family val="1"/>
        <charset val="2"/>
      </rPr>
      <t>°</t>
    </r>
    <r>
      <rPr>
        <sz val="8"/>
        <rFont val="Calibri"/>
        <family val="2"/>
        <scheme val="minor"/>
      </rPr>
      <t>C)</t>
    </r>
  </si>
  <si>
    <t>A1) CO2 purity prior to post cleaning (% vol)</t>
  </si>
  <si>
    <t>A2) Total pressure of CO2 gas (kPa(a))</t>
  </si>
  <si>
    <r>
      <t>A3) CO</t>
    </r>
    <r>
      <rPr>
        <vertAlign val="subscript"/>
        <sz val="8"/>
        <rFont val="Calibri"/>
        <family val="2"/>
        <scheme val="minor"/>
      </rPr>
      <t>2</t>
    </r>
    <r>
      <rPr>
        <sz val="8"/>
        <rFont val="Calibri"/>
        <family val="2"/>
        <scheme val="minor"/>
      </rPr>
      <t xml:space="preserve"> capture rate, net (%)</t>
    </r>
  </si>
  <si>
    <t>CC capacity is chosen to match flue gas flow and CO₂ emission from a 500 MWth biomass boiler</t>
  </si>
  <si>
    <t>Total cost including CO₂ compression &amp; drying, heat and site integration. CAPEX is expected to decrease by 40% in 2050 as the market develops. Total capital investment is calculated as plant capacity (t CO₂ output/h) multiplied by the specific investment cost.</t>
  </si>
  <si>
    <t>Post-combustion carbon capture - Retrofit 4500 ton clinker per day cement kiln</t>
  </si>
  <si>
    <t>D) Flue gas condensate (t/t CO2-output)</t>
  </si>
  <si>
    <t xml:space="preserve"> - hereof heat integration and steam plant (%)</t>
  </si>
  <si>
    <t>O</t>
  </si>
  <si>
    <t>CC capacity is chosen to match a cement kiln with production of 4500 tonne clinker per day. CO₂ generated from combusiton of additional fuel to provide heat to CC plant is not captured. Part of the heat demand may be recovered from the cement kiln</t>
  </si>
  <si>
    <t>Cement kiln exhaust gas is assumed to be  125 deg C</t>
  </si>
  <si>
    <t>Heat is supplied as low pressure steam 3-5 bara and 130-150 deg C</t>
  </si>
  <si>
    <t>This is the water vapour contained in the CO₂ product. This is recovered during compression and may be returned to the CC process</t>
  </si>
  <si>
    <t>Flue gas condensate is produced from pre-cooling of flue gas</t>
  </si>
  <si>
    <t xml:space="preserve">Total retrofit cost including CC plant, steam plant/waste heat recovery units, utilities, cooling water, CO₂ compression and drying to pipeline specifications (150 bar) and integration costs. CAPEX is expected to decrease by 40% in 2050 as the market develops. </t>
  </si>
  <si>
    <t>Cement plants typically don't have steam available for CC. Investment cost of steam plant and/or waste heat recovery boilers are included</t>
  </si>
  <si>
    <t>Oxy-fuel carbon capture - Retrofit 500 MW biomass boiler excluding ASU</t>
  </si>
  <si>
    <t xml:space="preserve">A) Mass of Fluegas (t,/t CO2 output) </t>
  </si>
  <si>
    <r>
      <t>B1) CO</t>
    </r>
    <r>
      <rPr>
        <vertAlign val="subscript"/>
        <sz val="8"/>
        <rFont val="Calibri"/>
        <family val="2"/>
        <scheme val="minor"/>
      </rPr>
      <t>2</t>
    </r>
    <r>
      <rPr>
        <sz val="8"/>
        <rFont val="Calibri"/>
        <family val="2"/>
        <scheme val="minor"/>
      </rPr>
      <t xml:space="preserve"> share in fluegas input (% vol)</t>
    </r>
  </si>
  <si>
    <t>B2) H2O share in fluegas Input  (% vol)</t>
  </si>
  <si>
    <t>D) mass of O₂ input (ton O₂/ton CO₂ output)</t>
  </si>
  <si>
    <t>B1) Mass of H2O (t/t CO2-output)</t>
  </si>
  <si>
    <t xml:space="preserve">C1) Heat out (MW/t CO2-output/hour) </t>
  </si>
  <si>
    <t>C2) Temperature of heat out (C)</t>
  </si>
  <si>
    <t xml:space="preserve"> - hereof equipment (%)</t>
  </si>
  <si>
    <t xml:space="preserve"> - hereof installation (%)</t>
  </si>
  <si>
    <t>Variable O&amp;M (€ per t CO2  output)</t>
  </si>
  <si>
    <t>Specific investment optional O₂ plant (ASU) (mill € /[t CO2  output/ hour])</t>
  </si>
  <si>
    <t>Electricity input for optional  O₂ plant (ASU)  (MW/ton CO₂/h)</t>
  </si>
  <si>
    <t>Electricity input CO₂ post treatment (CPU) (MWh/t CO2-output)</t>
  </si>
  <si>
    <t>Heat output CO₂ post treatment (MWh/t CO₂ output)</t>
  </si>
  <si>
    <t xml:space="preserve">Chris Spero, Toshihiko Yamada. Callide Oxyfuel Project, Final Results, March 2018. https://www.globalccsinstitute.com/archive/hub/publications/202090/cop-finalresults-publicreport-march2018.pdf </t>
  </si>
  <si>
    <t>On wet basis, before flue gas condensation</t>
  </si>
  <si>
    <t xml:space="preserve">Electricity for oxy-fuel retrofit plant is assumed unchanged when excluding ASU and CPU. </t>
  </si>
  <si>
    <t>Some CO₂ is vented from CPU during purification. The capture rate provides the fraction of the CO₂ from the boiler which is captured</t>
  </si>
  <si>
    <t>The amount of flue gas condensate produced is depending on fuel composition (moisture). This value is based on wood chips (wet fuel)</t>
  </si>
  <si>
    <t>Cooling water for flue gas condensation. As mentioned in D) this depends on fuel composition.</t>
  </si>
  <si>
    <t>Cost includes boiler modification and CO₂ purification unit (CPU) and compression to 150 bar for pipeline transport, but excludes O₂ production plant (ASU). Cost assumed to decrease by 20% up to 2050 as market develops</t>
  </si>
  <si>
    <t>Fixed O&amp;M is estimated as 3% of CAPEX.</t>
  </si>
  <si>
    <t>Cost for make-up chemicals to CPU and disposal of acid waste. Power consumption for new flue gas recirculations fans assumed to equal reduced power at existing fans</t>
  </si>
  <si>
    <t>Estimated value excluding ASU for O₂ production</t>
  </si>
  <si>
    <t>An large O₂ source is required for an oxy-fuel plant. An ASU is therefore likely to be required.</t>
  </si>
  <si>
    <t>Oxy-fuel carbon caputre - Retrofit 3000 ton clinker per day cement kiln excluding ASU</t>
  </si>
  <si>
    <t>Startup cost (€ per startup/t CO2/hour)</t>
  </si>
  <si>
    <t>ECRA CCS Project – Report on Phase III. European Cement Research Academy. Technical Report TR-ECRA-119/2012.</t>
  </si>
  <si>
    <t>CC capacity is chosen to match a cement kiln with production of 3000 tonne clinker per day.</t>
  </si>
  <si>
    <t>On wet basis, after flue gas condensation unit</t>
  </si>
  <si>
    <t>Some CO₂ is vented from CPU during purification. The capture rate provides the fraction of the CO₂ from the klin exhaust gases which is captured</t>
  </si>
  <si>
    <t>The amount of flue gas condensate produced is depending on fuel composition (moisture) and is based on dry cement process. For wet process 1.1 t condensate/t CO₂ and 0.8 MWh/tonc CO₂ heat out can be used</t>
  </si>
  <si>
    <t>Cost includes cement kiln modifications and CO₂ purification unit (CPU) and compression to 150 bar for pipeline transport, but excludes O₂ production plant (ASU). Cost assumed to decrease by 20% up to 2050 as market develops</t>
  </si>
  <si>
    <t>Cost for make-up chemicals to CPU and disposal of acid waste. Power at flue gas recirculations fans equals reduced power at other fans</t>
  </si>
  <si>
    <t>Estimated value excluding ASU for O₂ generation.</t>
  </si>
  <si>
    <t>An large O₂ source is required for an oxy-fuel plant. An ASU is therefore likely to be required. For cement kilns significantly less O₂ required pr. t CO₂ compared to energy plants</t>
  </si>
  <si>
    <t xml:space="preserve">Direct Air Capture Plant </t>
  </si>
  <si>
    <t xml:space="preserve">A) Air flow rate (t/t CO2 output) </t>
  </si>
  <si>
    <t>1,2,3,4</t>
  </si>
  <si>
    <t>Fixed O&amp;M (mill € /[t CO2 output/hour])</t>
  </si>
  <si>
    <t>Variable O&amp;M (€ per Mt CO2 output)</t>
  </si>
  <si>
    <t>Land use for DAC unit (km^2/(Mt CO₂ output/year)</t>
  </si>
  <si>
    <t>P. Viebahn, A. Scholz and O. Zelt. The potential Role of Direct Air capture in the German energy research program. Energies 2019, 12, 3443</t>
  </si>
  <si>
    <t xml:space="preserve">M. Fasihi, O. Efimova, C. Breyer. Techno-economic assessment of CO₂ direct air capture plants. J. of Cleaner Prod. 224 (2019) 957-980. </t>
  </si>
  <si>
    <t>Evans, S. The Swiss Company Hoping to Capture 1% of Global CO2 Emissions by 2025; CarbonBrief. 22 June 2017.</t>
  </si>
  <si>
    <t xml:space="preserve">A.B. Vogel. CO2 – the Raw Material that Comes from AIR. Swiss Federal Office of Energy. 8643 Gasbefeurte kraftwerke. 05.05.2017. </t>
  </si>
  <si>
    <t>Largest facility in operation today is approx. 0.1 t/h by Climeworks consisting of 18 modules. The 2050 value is based on technology vendors expectations of +1 MTPA plant.</t>
  </si>
  <si>
    <t>Air flow to DAC unit up to year 2025 assumes 50% capture rate of 400 ppmv CO₂ in air. It is expected that capture rate may increase to 80% in 2050.</t>
  </si>
  <si>
    <t>Based on solid adsorption by Climeworks. Heat is required around 100 deg C to desorb CO₂. Inconsistency in reported heat requirement, 2.5 MWh/ton CO₂ is regarded as more realistic value. The 2050 value is Climeworks' target (undocumented)!</t>
  </si>
  <si>
    <t>Electrical consumption between 0.2 and 0.5 MWh/t CO₂ reported. The average value (0.35 MWh/t CO₂) is selected with 20% improvement to 2050.</t>
  </si>
  <si>
    <t>CO₂ purity is claimed to 99.9%, however this is undocumented. It is expected that this is on dry basis as the CO₂ will contain moisture as well.</t>
  </si>
  <si>
    <t>Moisture from the air is co-adsorbed on the filter and desorbed during regeneration. 1 m³/t CO₂ is reported but this will presumably vary with air humidity.</t>
  </si>
  <si>
    <t>Modules must be cooled to 15 deg C after regeneration. No data, hence it is assumed that 50% of heat input must be removed, rest is heat of desorption.</t>
  </si>
  <si>
    <t>Filter module to be cooled from approx. 100 to 15 deg C, hence 50 deg C is taken as an average. Heat only available intermittently as it is a batch process. Details unkonwn.</t>
  </si>
  <si>
    <t>Values assumed, no data available.</t>
  </si>
  <si>
    <t>The life expectancy of one module is reported to be 4 years according to Vogel et al. [4]. Overall plant is assumed to have 20 years lifetime Fashi et al. [2].</t>
  </si>
  <si>
    <t>Climeworks have currently capacity to produce 150 CO₂ collector modules per year, hence today's small scale plants can be produced in short time. The installation time is expected to increase with size of facility.</t>
  </si>
  <si>
    <t>No CAPEX value reported by Climeworks, however based on CAPEX estimate for 360 ktpa plant from Antecy (which has become part of Climeworks). 0.5 mill €/(t CO₂) added for CO₂ compression to 150 bar CAPEX assumed to decrease by 40% in 2050.</t>
  </si>
  <si>
    <t>Total O&amp;M is taken as 3.7% of CAPEX as in Fashi et al. [2].  CO₂ filter is reported to need replacement every 4 years [4]. The filter is assumed to make up 5% of CAPEX, hence additonal 1.25% of CAPEX is added to fixed O&amp;M</t>
  </si>
  <si>
    <t>O&amp;M is not split in fixed and variable. It is expected that O&amp;M is mainly fixed for the solid adsorption technology.</t>
  </si>
  <si>
    <t>Compression  of CO₂ from 0,2 to 150 bara inkl. dehydration to 50 ppmv</t>
  </si>
  <si>
    <t>Direct air to Capturing CO2, electricity</t>
  </si>
  <si>
    <t>SUPDACELD5N</t>
  </si>
  <si>
    <t>HETD</t>
  </si>
  <si>
    <t>EMISSIONS~CO2NSTO</t>
  </si>
  <si>
    <t>CO2NSTO</t>
  </si>
  <si>
    <t>Carbon storage unit - Negative - total amount</t>
  </si>
  <si>
    <t>Sheet names (for lookups)</t>
  </si>
  <si>
    <t>CURR</t>
  </si>
  <si>
    <t>YEAR</t>
  </si>
  <si>
    <t>*COP</t>
  </si>
  <si>
    <t>Share-I</t>
  </si>
  <si>
    <t>VDA_FLOP</t>
  </si>
  <si>
    <t>FEMIS~IGDSOx</t>
  </si>
  <si>
    <t>FEMIS~IGDNOx</t>
  </si>
  <si>
    <t>FEMIS~IGDCH4</t>
  </si>
  <si>
    <t>FEMIS~IGDNO2</t>
  </si>
  <si>
    <t>FEMIS~IGDPM</t>
  </si>
  <si>
    <t>* Source</t>
  </si>
  <si>
    <t>Input~ELCC</t>
  </si>
  <si>
    <t>EFF heat pumps moved to Trans file</t>
  </si>
  <si>
    <t>*</t>
  </si>
  <si>
    <t>Mkr/MW/year</t>
  </si>
  <si>
    <t>g/GJ</t>
  </si>
  <si>
    <t>Trad. Heat pump 80C</t>
  </si>
  <si>
    <t>INDGDMTELCN1</t>
  </si>
  <si>
    <t>Industrial heating technology Glass &amp; Concrete MT - Heat pump utilizing waste heat - new 1</t>
  </si>
  <si>
    <t>MKr15</t>
  </si>
  <si>
    <t>INDGWH</t>
  </si>
  <si>
    <t>INDGDRHELCN1</t>
  </si>
  <si>
    <t>Industrial heating technology Glass &amp; Concrete RH - Heat pump utilizing waste heat - new 1</t>
  </si>
  <si>
    <t>IGDRH</t>
  </si>
  <si>
    <t>Heat driven Heat pump 80C</t>
  </si>
  <si>
    <t>INDGDMTELCN2</t>
  </si>
  <si>
    <t>Industrial heating technology Glass &amp; Concrete MT - Heat driven heat pump utilizing waste heat - new 2</t>
  </si>
  <si>
    <t>INDGDRHELCN2</t>
  </si>
  <si>
    <t>Industrial heating technology Glass &amp; Concrete RH - Heat driven heat pump utilizing waste heat - new 2</t>
  </si>
  <si>
    <t>High Temp abs. Heat pump 150C</t>
  </si>
  <si>
    <t>INDGDMTELCN3</t>
  </si>
  <si>
    <t>Industrial heating technology Glass &amp; Concrete MT - High Temp abs. Heat pump utilizing waste heat - new 3</t>
  </si>
  <si>
    <t>INDGDRHELCN3</t>
  </si>
  <si>
    <t>Industrial heating technology Glass &amp; Concrete RH - High Temp abs. Heat pump utilizing waste heat - new 3</t>
  </si>
  <si>
    <t>Booster Heat pump 150C</t>
  </si>
  <si>
    <t>INDGDMTELCN4</t>
  </si>
  <si>
    <t>Industrial heating technology Glass &amp; Concrete MT - Booster Heat pump utilizing waste heat - new 4</t>
  </si>
  <si>
    <t>INDGDRHELCN4</t>
  </si>
  <si>
    <t>Industrial heating technology Glass &amp; Concrete RH - Booster Heat pump utilizing waste heat - new 4</t>
  </si>
  <si>
    <t>MVR</t>
  </si>
  <si>
    <t>INDGDMTELCN5</t>
  </si>
  <si>
    <t>Industrial heating technology Glass &amp; Concrete MT - MVR utilizing waste heat - new 5</t>
  </si>
  <si>
    <t>Hotdisc</t>
  </si>
  <si>
    <t>INDGDHTWSTN1</t>
  </si>
  <si>
    <t>Industrial heating technology Glass &amp; Concrete HT - Hotdisc - new 1</t>
  </si>
  <si>
    <t>INDWST</t>
  </si>
  <si>
    <t>Dielectric heating</t>
  </si>
  <si>
    <t>INDGDMTELCN6</t>
  </si>
  <si>
    <t>Industrial heating technology Glass &amp; Concrete MT - Dielectric heating - new 6</t>
  </si>
  <si>
    <t>Infrared</t>
  </si>
  <si>
    <t>INDGDMTELCN7</t>
  </si>
  <si>
    <t>Industrial heating technology Glass &amp; Concrete MT - Infrared heating - new 7</t>
  </si>
  <si>
    <t>Electric boiler</t>
  </si>
  <si>
    <t>INDGDHTELCN8</t>
  </si>
  <si>
    <t>Industrial heating technology Glass &amp; Concrete HT - Electric boiler (Steam) - new 8</t>
  </si>
  <si>
    <t>INDGDMTELCN8</t>
  </si>
  <si>
    <t>Industrial heating technology Glass &amp; Concrete MT - Electric boiler (Steam) - new 8</t>
  </si>
  <si>
    <t>INDGDRHELCN8</t>
  </si>
  <si>
    <t>Industrial heating technology Glass &amp; Concrete RH - Electric boiler (Steam) - new 8</t>
  </si>
  <si>
    <t>INDGDMTELCN9</t>
  </si>
  <si>
    <t>Industrial heating technology Glass &amp; Concrete MT - Electric boiler (Hot Water) - new 9</t>
  </si>
  <si>
    <t>INDGDRHELCN9</t>
  </si>
  <si>
    <t>Industrial heating technology Glass &amp; Concrete RH - Electric boiler (Hot Water) - new 9</t>
  </si>
  <si>
    <t>Biomass boiler</t>
  </si>
  <si>
    <t>INDGDHTWCHN1</t>
  </si>
  <si>
    <t>Industrial heating technology Glass &amp; Concrete HT - Wood chip boiler (Steam) - new 1</t>
  </si>
  <si>
    <t>INDGDMTWCHN1</t>
  </si>
  <si>
    <t>Industrial heating technology Glass &amp; Concrete MT - Wood chip boiler (Steam) - new 1</t>
  </si>
  <si>
    <t>INDGDRHWCHN1</t>
  </si>
  <si>
    <t>Industrial heating technology Glass &amp; Concrete RH - Wood chip boiler (Steam) - new 1</t>
  </si>
  <si>
    <t>INDGDMTWCHN2</t>
  </si>
  <si>
    <t>Industrial heating technology Glass &amp; Concrete MT - Wood chip boiler (Steam - condensing) - new 2</t>
  </si>
  <si>
    <t>INDGDRHWCHN2</t>
  </si>
  <si>
    <t>Industrial heating technology Glass &amp; Concrete RH - Wood chip boiler (Steam - condensing) - new 2</t>
  </si>
  <si>
    <t>INDGDMTWCHN3</t>
  </si>
  <si>
    <t>Industrial heating technology Glass &amp; Concrete MT - Wood chip boiler (Hot Water) - new 3</t>
  </si>
  <si>
    <t>INDGDRHWCHN3</t>
  </si>
  <si>
    <t>Industrial heating technology Glass &amp; Concrete RH - Wood chip boiler (Hot Water) - new 3</t>
  </si>
  <si>
    <t>INDGDMTWCHN4</t>
  </si>
  <si>
    <t>Industrial heating technology Glass &amp; Concrete MT - Wood chip boiler (Hot Water - condensing) - new 4</t>
  </si>
  <si>
    <t>INDGDRHWCHN4</t>
  </si>
  <si>
    <t>Industrial heating technology Glass &amp; Concrete RH - Wood chip boiler (Hot Water- condensing) - new 4</t>
  </si>
  <si>
    <t>Direct electric heating</t>
  </si>
  <si>
    <t>INDGDHTELCN10</t>
  </si>
  <si>
    <t>Industrial heating technology Glass &amp; Concrete HT - Direct electric heating - new 10</t>
  </si>
  <si>
    <t>INDGDMTELCN10</t>
  </si>
  <si>
    <t>Industrial heating technology Glass &amp; Concrete MT - Direct electric heating - new 10</t>
  </si>
  <si>
    <t>Oil-fired boiler_NEW</t>
  </si>
  <si>
    <t>INDGDHTDSLN1</t>
  </si>
  <si>
    <t>Industrial heating technology Glass &amp; Concrete HT - Oil boiler (Steam) - new 1</t>
  </si>
  <si>
    <t>INDDSL, INDDSB1, INDDSB2, INDHFO</t>
  </si>
  <si>
    <t>INDGDMTDSLN1</t>
  </si>
  <si>
    <t>Industrial heating technology Glass &amp; Concrete MT - Oil boiler (Steam) - new 1</t>
  </si>
  <si>
    <t>INDGDRHDSLN1</t>
  </si>
  <si>
    <t>Industrial heating technology Glass &amp; Concrete RH - Oil boiler (Steam) - new 1</t>
  </si>
  <si>
    <t>INDGDMTDSLN2</t>
  </si>
  <si>
    <t>Industrial heating technology Glass &amp; Concrete MT - Oil boiler (Steam - condensing) - new 2</t>
  </si>
  <si>
    <t>INDGDRHDSLN2</t>
  </si>
  <si>
    <t>Industrial heating technology Glass &amp; Concrete RH - Oil boiler (Steam - condensing) - new 2</t>
  </si>
  <si>
    <t>Natural gas boiler_NEW</t>
  </si>
  <si>
    <t>INDGDHTGASN1</t>
  </si>
  <si>
    <t>Industrial heating technology Glass &amp; Concrete HT - Gas boiler (Steam) - new 1</t>
  </si>
  <si>
    <t>INDNGA, INDBGA, INDSNG1, INDSNG2, INDLPG</t>
  </si>
  <si>
    <t>INDGDMTGASN1</t>
  </si>
  <si>
    <t>Industrial heating technology Glass &amp; Concrete MT - Gas boiler (Steam) - new 1</t>
  </si>
  <si>
    <t>INDGDRHGASN1</t>
  </si>
  <si>
    <t>Industrial heating technology Glass &amp; Concrete RH - Gas boiler (Steam) - new 1</t>
  </si>
  <si>
    <t>INDGDMTGASN2</t>
  </si>
  <si>
    <t>Industrial heating technology Glass &amp; Concrete MT - Gas boiler (Steam - condensing) - new 2</t>
  </si>
  <si>
    <t>INDGDRHGASN2</t>
  </si>
  <si>
    <t>Industrial heating technology Glass &amp; Concrete RH - Gas boiler (Steam - condensing) - new 2</t>
  </si>
  <si>
    <t>INDGDMTGASN3</t>
  </si>
  <si>
    <t>Industrial heating technology Glass &amp; Concrete MT - Gas boiler (Hot Water) - new 3</t>
  </si>
  <si>
    <t>INDGDRHGASN3</t>
  </si>
  <si>
    <t>Industrial heating technology Glass &amp; Concrete RH - Gas boiler (Hot Water) - new 3</t>
  </si>
  <si>
    <t>INDGDMTGASN4</t>
  </si>
  <si>
    <t>Industrial heating technology Glass &amp; Concrete MT - Gas boiler (Hot Water - condensing) - new 4</t>
  </si>
  <si>
    <t>INDGDRHGASN4</t>
  </si>
  <si>
    <t>Industrial heating technology Glass &amp; Concrete RH - Gas boiler (Hot Water- condensing) - new 4</t>
  </si>
  <si>
    <t>INDGDHTGASN5</t>
  </si>
  <si>
    <t>Industrial heating technology Glass &amp; Concrete HT - Gas boiler (Direct firing) - new 5</t>
  </si>
  <si>
    <t>INDGDMTGASN5</t>
  </si>
  <si>
    <t>Industrial heating technology Glass &amp; Concrete MT - Gas boiler (Direct firing) - new 5</t>
  </si>
  <si>
    <t>Coal boiler</t>
  </si>
  <si>
    <t>INDGDHTCOAN1</t>
  </si>
  <si>
    <t>Industrial heating technology Glass &amp; Concrete HT - Coal boiler (Steam) - new 1</t>
  </si>
  <si>
    <t>INDGDMTCOAN1</t>
  </si>
  <si>
    <t>Industrial heating technology Glass &amp; Concrete MT - Coal boiler (Steam) - new 1</t>
  </si>
  <si>
    <t>INDGDRHCOAN1</t>
  </si>
  <si>
    <t>Industrial heating technology Glass &amp; Concrete RH - Coal boiler (Steam) - new 1</t>
  </si>
  <si>
    <t>INDGDMTCOAN2</t>
  </si>
  <si>
    <t>Industrial heating technology Glass &amp; Concrete MT - Coal boiler (Hot Water) - new 2</t>
  </si>
  <si>
    <t>INDGDRHCOAN2</t>
  </si>
  <si>
    <t>Industrial heating technology Glass &amp; Concrete RH - Coal boiler (Hot Water) - new 2</t>
  </si>
  <si>
    <t>Solar heating</t>
  </si>
  <si>
    <t>INDGDRHSOLN1</t>
  </si>
  <si>
    <t>Industrial heating technology Glass &amp; Concrete RH - Solar - new 1</t>
  </si>
  <si>
    <t>INDSOL</t>
  </si>
  <si>
    <t>* Heat Exchangers</t>
  </si>
  <si>
    <t>INDGDRHHCEN1</t>
  </si>
  <si>
    <t>Industrial heating technology Glass &amp; Concrete RH - central district heating - within DH area - new 1</t>
  </si>
  <si>
    <t>INDHCE</t>
  </si>
  <si>
    <t>INDGDMTHCEN1</t>
  </si>
  <si>
    <t>Industrial heating technology Glass &amp; Concrete MT - central district heating - within DH area - new 1</t>
  </si>
  <si>
    <t>INDGDRHHDEN1</t>
  </si>
  <si>
    <t>Industrial heating technology Glass &amp; Concrete RH - decentral district heating - within DH area - new 1</t>
  </si>
  <si>
    <t>INDHDE</t>
  </si>
  <si>
    <t>INDGDMTHDEN1</t>
  </si>
  <si>
    <t>Industrial heating technology Glass &amp; Concrete MT - decentral district heating - within DH area - new 1</t>
  </si>
  <si>
    <t>* Electric appliances</t>
  </si>
  <si>
    <t>INDGDLAELCN1</t>
  </si>
  <si>
    <t>Industry Glass &amp; Concrete LA Electricity Light Appliance - New 1</t>
  </si>
  <si>
    <t>IGDLA</t>
  </si>
  <si>
    <t>INDGDEMELCN1</t>
  </si>
  <si>
    <t>Industry Glass &amp; Concrete EM Electricity Motors - New 1</t>
  </si>
  <si>
    <t>IGDEM</t>
  </si>
  <si>
    <t>INDGDTFDSLN1</t>
  </si>
  <si>
    <t>Industry Glass &amp; Concrete TF Tractors, Trucks, Fishing boats - New 1</t>
  </si>
  <si>
    <t>INDDSL, INDDSB1, INDDSB2</t>
  </si>
  <si>
    <t>IGDTF</t>
  </si>
  <si>
    <t>INDGDFLNG2N1</t>
  </si>
  <si>
    <t>Industry Glass &amp; Concrete TF Forklifts - New 1</t>
  </si>
  <si>
    <t>INDLPG, INDBGA, INDNGA, INDSNG1, INDSNG2</t>
  </si>
  <si>
    <t>IGDFL</t>
  </si>
  <si>
    <t>DMD</t>
  </si>
  <si>
    <t>yes</t>
  </si>
  <si>
    <t>CSet</t>
  </si>
  <si>
    <t>*Commodity Set Membership</t>
  </si>
  <si>
    <t>Region Name</t>
  </si>
  <si>
    <t>Commodity Description</t>
  </si>
  <si>
    <t>IGDSOx</t>
  </si>
  <si>
    <t>Industrial heating  heating technology Glass &amp; Concrete - SOx emission</t>
  </si>
  <si>
    <t>IGDNOx</t>
  </si>
  <si>
    <t>Industrial heating  heating technology Glass &amp; Concrete - NOx emission</t>
  </si>
  <si>
    <t>IGDCH4</t>
  </si>
  <si>
    <t>Industrial heating  heating technology Glass &amp; Concrete - CH4 emission</t>
  </si>
  <si>
    <t>IGDNO2</t>
  </si>
  <si>
    <t>Industrial heating  heating technology Glass &amp; Concrete - NO2 emission</t>
  </si>
  <si>
    <t>IGDPM</t>
  </si>
  <si>
    <t>Industrial heating  heating technology Glass &amp; Concrete - Particle emission</t>
  </si>
  <si>
    <t>Industrial heating technology Glass &amp; Concrete - Waste heat</t>
  </si>
  <si>
    <t>FI_Comm</t>
  </si>
  <si>
    <t>FI_Process</t>
  </si>
  <si>
    <t>FLO_MARK</t>
  </si>
  <si>
    <t>CO2 emission from input fuel</t>
  </si>
  <si>
    <t>CO2 emissions from process</t>
  </si>
  <si>
    <t>kt/PJ output</t>
  </si>
  <si>
    <t>*Techname findings</t>
  </si>
  <si>
    <t>Cement process related emissions</t>
  </si>
  <si>
    <t>kt CO2e</t>
  </si>
  <si>
    <t>From Danish enviroment inventory 2020 (data from 2018) and demand projection for high temperature heat demand in cement industry</t>
  </si>
  <si>
    <t>Cement higt temperature demand (2018)</t>
  </si>
  <si>
    <t>CCS specific costs and changes in facilities relativew changes compared to reference technology</t>
  </si>
  <si>
    <t>t CO2/hour captured per Mw</t>
  </si>
  <si>
    <t>Heat demand per MW output</t>
  </si>
  <si>
    <t>ELCC demand</t>
  </si>
  <si>
    <t>*EFF Original</t>
  </si>
  <si>
    <t>Related to A input</t>
  </si>
  <si>
    <t>Output in given unit/Output</t>
  </si>
  <si>
    <t>kr/t</t>
  </si>
  <si>
    <t>EUR/t</t>
  </si>
  <si>
    <t>CO2DAC</t>
  </si>
  <si>
    <t>Direct air capture CO2</t>
  </si>
  <si>
    <t>FWDA</t>
  </si>
  <si>
    <t>FWDB</t>
  </si>
  <si>
    <t>FWDC</t>
  </si>
  <si>
    <t>FWDD</t>
  </si>
  <si>
    <t>FNWA</t>
  </si>
  <si>
    <t>FNWB</t>
  </si>
  <si>
    <t>FNWC</t>
  </si>
  <si>
    <t>FNWD</t>
  </si>
  <si>
    <t>RNWA</t>
  </si>
  <si>
    <t>RNWB</t>
  </si>
  <si>
    <t>RNWC</t>
  </si>
  <si>
    <t>RNWD</t>
  </si>
  <si>
    <t>RWDA</t>
  </si>
  <si>
    <t>RWDB</t>
  </si>
  <si>
    <t>RWDC</t>
  </si>
  <si>
    <t>RWDD</t>
  </si>
  <si>
    <t>SNWA</t>
  </si>
  <si>
    <t>SNWB</t>
  </si>
  <si>
    <t>SNWC</t>
  </si>
  <si>
    <t>SNWD</t>
  </si>
  <si>
    <t>SWDA</t>
  </si>
  <si>
    <t>SWDB</t>
  </si>
  <si>
    <t>SWDC</t>
  </si>
  <si>
    <t>SWDD</t>
  </si>
  <si>
    <t>WNWA</t>
  </si>
  <si>
    <t>WNWB</t>
  </si>
  <si>
    <t>WNWC</t>
  </si>
  <si>
    <t>WNWD</t>
  </si>
  <si>
    <t>WWDA</t>
  </si>
  <si>
    <t>WWDB</t>
  </si>
  <si>
    <t>WWDC</t>
  </si>
  <si>
    <t>WWDD</t>
  </si>
  <si>
    <t xml:space="preserve">Page Fields: </t>
  </si>
  <si>
    <t>Table Name: T_071220_115711</t>
  </si>
  <si>
    <t>DK</t>
  </si>
  <si>
    <t xml:space="preserve">Active Unit:  </t>
  </si>
  <si>
    <t>Scenario</t>
  </si>
  <si>
    <t>Commodity</t>
  </si>
  <si>
    <t>Process</t>
  </si>
  <si>
    <t>Period\TimeSlice</t>
  </si>
  <si>
    <t>ANNUAL</t>
  </si>
  <si>
    <t>DMS_0412</t>
  </si>
  <si>
    <t>2015</t>
  </si>
  <si>
    <t>2020</t>
  </si>
  <si>
    <t>2025</t>
  </si>
  <si>
    <t>2030</t>
  </si>
  <si>
    <t>2035</t>
  </si>
  <si>
    <t>2040</t>
  </si>
  <si>
    <t>2045</t>
  </si>
  <si>
    <t>2050</t>
  </si>
  <si>
    <t>INDNGA</t>
  </si>
  <si>
    <t>DKE</t>
  </si>
  <si>
    <t>DKW</t>
  </si>
  <si>
    <t>LCOCO2</t>
  </si>
  <si>
    <t>INV</t>
  </si>
  <si>
    <t>O&amp;M</t>
  </si>
  <si>
    <t>Fuel</t>
  </si>
  <si>
    <t>Biproduct</t>
  </si>
  <si>
    <t>MDKK/PJ output</t>
  </si>
  <si>
    <t>Overview of LCOCO2 calculations in each sheet</t>
  </si>
  <si>
    <t>Income</t>
  </si>
  <si>
    <t>DAC</t>
  </si>
  <si>
    <t>BECCS, halm</t>
  </si>
  <si>
    <t>BECCS, wood chips</t>
  </si>
  <si>
    <t>Waste CCS</t>
  </si>
  <si>
    <t>FOM</t>
  </si>
  <si>
    <t>VOM</t>
  </si>
  <si>
    <t>HEAT</t>
  </si>
  <si>
    <t>Waste CCS marginal</t>
  </si>
  <si>
    <t>Invetment</t>
  </si>
  <si>
    <t>Loss in revenue</t>
  </si>
  <si>
    <t>Cement, Kul</t>
  </si>
  <si>
    <t>Cement, Gas</t>
  </si>
  <si>
    <t>LCOCO2, marginal</t>
  </si>
  <si>
    <t>CSTRASISL</t>
  </si>
  <si>
    <t>CO2 Transport Technology by ship</t>
  </si>
  <si>
    <t>CO2ISL</t>
  </si>
  <si>
    <t>CSTRAPISL</t>
  </si>
  <si>
    <t>CO2 Transport Technology by pipeline</t>
  </si>
  <si>
    <t>CSDELISL</t>
  </si>
  <si>
    <t>CO2 Delivery Island</t>
  </si>
  <si>
    <t>SUPCO2</t>
  </si>
  <si>
    <t>BGACO2</t>
  </si>
  <si>
    <t>CO2PRCI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</si>
</sst>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8" formatCode="&quot;£&quot;#,##0.00;[Red]\-&quot;£&quot;#,##0.00"/>
    <numFmt numFmtId="41" formatCode="_-* #,##0_-;\-* #,##0_-;_-* &quot;-&quot;_-;_-@_-"/>
    <numFmt numFmtId="43" formatCode="_-* #,##0.00_-;\-* #,##0.00_-;_-* &quot;-&quot;??_-;_-@_-"/>
    <numFmt numFmtId="164" formatCode="_(* #,##0_);_(* \(#,##0\);_(* &quot;-&quot;_);_(@_)"/>
    <numFmt numFmtId="165" formatCode="_(* #,##0.00_);_(* \(#,##0.00\);_(* &quot;-&quot;??_);_(@_)"/>
    <numFmt numFmtId="166" formatCode="_-* #,##0\ _k_r_._-;\-* #,##0\ _k_r_._-;_-* &quot;-&quot;\ _k_r_._-;_-@_-"/>
    <numFmt numFmtId="167" formatCode="_-* #,##0.00\ _k_r_._-;\-* #,##0.00\ _k_r_._-;_-* &quot;-&quot;??\ _k_r_._-;_-@_-"/>
    <numFmt numFmtId="168" formatCode="_ * #,##0.00_ ;_ * \-#,##0.00_ ;_ * &quot;-&quot;??_ ;_ @_ "/>
    <numFmt numFmtId="169" formatCode="0.0"/>
    <numFmt numFmtId="170" formatCode="_-&quot;€&quot;\ * #,##0.00_-;\-&quot;€&quot;\ * #,##0.00_-;_-&quot;€&quot;\ * &quot;-&quot;??_-;_-@_-"/>
    <numFmt numFmtId="171" formatCode="#,##0;\-\ #,##0;_-\ &quot;- &quot;"/>
    <numFmt numFmtId="172" formatCode="_-[$€-2]\ * #,##0.00_-;\-[$€-2]\ * #,##0.00_-;_-[$€-2]\ * &quot;-&quot;??_-"/>
    <numFmt numFmtId="173" formatCode="0.000"/>
    <numFmt numFmtId="174" formatCode="\Te\x\t"/>
    <numFmt numFmtId="175" formatCode="_([$€]* #,##0.00_);_([$€]* \(#,##0.00\);_([$€]* &quot;-&quot;??_);_(@_)"/>
    <numFmt numFmtId="176" formatCode="_-[$€-2]* #,##0.00_-;\-[$€-2]* #,##0.00_-;_-[$€-2]* &quot;-&quot;??_-"/>
    <numFmt numFmtId="177" formatCode="0_ ;\-0\ "/>
    <numFmt numFmtId="178" formatCode="0.0000000"/>
    <numFmt numFmtId="179" formatCode="_ * #,##0_ ;_ * \-#,##0_ ;_ * &quot;-&quot;_ ;_ @_ "/>
    <numFmt numFmtId="180" formatCode="0.0000"/>
    <numFmt numFmtId="181" formatCode="0.0;\-0.0;0"/>
    <numFmt numFmtId="182" formatCode="#,##0.00\ &quot;kr.&quot;;[Red]\-#,##0.00\ &quot;kr.&quot;"/>
  </numFmts>
  <fonts count="101">
    <font>
      <sz val="11"/>
      <color theme="1"/>
      <name val="Calibri"/>
      <family val="2"/>
      <scheme val="minor"/>
    </font>
    <font>
      <sz val="10"/>
      <name val="Arial"/>
      <family val="2"/>
    </font>
    <font>
      <sz val="10"/>
      <name val="Calibri"/>
      <family val="2"/>
    </font>
    <font>
      <sz val="11"/>
      <color rgb="FF9C0006"/>
      <name val="Calibri"/>
      <family val="2"/>
      <scheme val="minor"/>
    </font>
    <font>
      <sz val="10"/>
      <color theme="1"/>
      <name val="Calibri"/>
      <family val="2"/>
    </font>
    <font>
      <sz val="10"/>
      <color rgb="FF9C0006"/>
      <name val="Calibri"/>
      <family val="2"/>
    </font>
    <font>
      <sz val="10"/>
      <name val="Helv"/>
    </font>
    <font>
      <sz val="11"/>
      <color indexed="17"/>
      <name val="Calibri"/>
      <family val="2"/>
    </font>
    <font>
      <sz val="10"/>
      <name val="Arial"/>
      <family val="2"/>
    </font>
    <font>
      <sz val="11"/>
      <color indexed="8"/>
      <name val="Calibri"/>
      <family val="2"/>
    </font>
    <font>
      <sz val="11"/>
      <color indexed="9"/>
      <name val="Calibri"/>
      <family val="2"/>
    </font>
    <font>
      <b/>
      <sz val="11"/>
      <color indexed="52"/>
      <name val="Calibri"/>
      <family val="2"/>
    </font>
    <font>
      <sz val="11"/>
      <color indexed="52"/>
      <name val="Calibri"/>
      <family val="2"/>
    </font>
    <font>
      <b/>
      <sz val="11"/>
      <color indexed="9"/>
      <name val="Calibri"/>
      <family val="2"/>
    </font>
    <font>
      <sz val="11"/>
      <color indexed="62"/>
      <name val="Calibri"/>
      <family val="2"/>
    </font>
    <font>
      <sz val="10"/>
      <name val="MS Sans Serif"/>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sz val="11"/>
      <color indexed="20"/>
      <name val="Calibri"/>
      <family val="2"/>
    </font>
    <font>
      <b/>
      <sz val="11"/>
      <color theme="1"/>
      <name val="Calibri"/>
      <family val="2"/>
      <scheme val="minor"/>
    </font>
    <font>
      <sz val="9"/>
      <color indexed="81"/>
      <name val="Tahoma"/>
      <family val="2"/>
    </font>
    <font>
      <b/>
      <sz val="9"/>
      <color indexed="81"/>
      <name val="Tahoma"/>
      <family val="2"/>
    </font>
    <font>
      <sz val="11"/>
      <name val="Calibri"/>
      <family val="2"/>
      <scheme val="minor"/>
    </font>
    <font>
      <b/>
      <sz val="11"/>
      <name val="Calibri"/>
      <family val="2"/>
      <scheme val="minor"/>
    </font>
    <font>
      <sz val="11"/>
      <color theme="1"/>
      <name val="Calibri"/>
      <family val="2"/>
    </font>
    <font>
      <b/>
      <sz val="7"/>
      <color theme="1"/>
      <name val="Times New Roman"/>
      <family val="1"/>
    </font>
    <font>
      <sz val="8"/>
      <color theme="1"/>
      <name val="Calibri"/>
      <family val="2"/>
      <scheme val="minor"/>
    </font>
    <font>
      <sz val="10"/>
      <color theme="1"/>
      <name val="Calibri"/>
      <family val="2"/>
      <scheme val="minor"/>
    </font>
    <font>
      <u/>
      <sz val="11"/>
      <color rgb="FF008080"/>
      <name val="Calibri"/>
      <family val="2"/>
      <scheme val="minor"/>
    </font>
    <font>
      <b/>
      <sz val="8"/>
      <color theme="1"/>
      <name val="Calibri"/>
      <family val="2"/>
      <scheme val="minor"/>
    </font>
    <font>
      <sz val="7"/>
      <color theme="1"/>
      <name val="Calibri"/>
      <family val="2"/>
      <scheme val="minor"/>
    </font>
    <font>
      <sz val="11"/>
      <color theme="1"/>
      <name val="Calibri"/>
      <family val="2"/>
      <scheme val="minor"/>
    </font>
    <font>
      <b/>
      <sz val="11"/>
      <name val="Calibri"/>
      <family val="2"/>
    </font>
    <font>
      <sz val="12"/>
      <color theme="1"/>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0"/>
      <name val="Arial"/>
      <family val="2"/>
    </font>
    <font>
      <sz val="8"/>
      <name val="Arial"/>
      <family val="2"/>
    </font>
    <font>
      <sz val="10"/>
      <name val="Arial"/>
      <family val="2"/>
      <charset val="204"/>
    </font>
    <font>
      <sz val="10"/>
      <name val="Courier"/>
      <family val="3"/>
    </font>
    <font>
      <sz val="9"/>
      <color indexed="8"/>
      <name val="Times New Roman"/>
      <family val="1"/>
    </font>
    <font>
      <sz val="9"/>
      <name val="Times New Roman"/>
      <family val="1"/>
    </font>
    <font>
      <b/>
      <sz val="9"/>
      <name val="Times New Roman"/>
      <family val="1"/>
    </font>
    <font>
      <sz val="9"/>
      <name val="Geneva"/>
      <family val="2"/>
    </font>
    <font>
      <i/>
      <sz val="10"/>
      <name val="Calibri"/>
      <family val="2"/>
    </font>
    <font>
      <u/>
      <sz val="8"/>
      <color indexed="12"/>
      <name val="Arial"/>
      <family val="2"/>
    </font>
    <font>
      <sz val="10"/>
      <color rgb="FF0000FF"/>
      <name val="Calibri"/>
      <family val="2"/>
    </font>
    <font>
      <u/>
      <sz val="11"/>
      <color theme="10"/>
      <name val="Calibri"/>
      <family val="2"/>
      <scheme val="minor"/>
    </font>
    <font>
      <sz val="10"/>
      <color rgb="FF00B050"/>
      <name val="Calibri"/>
      <family val="2"/>
    </font>
    <font>
      <b/>
      <sz val="16"/>
      <color theme="0"/>
      <name val="Calibri"/>
      <family val="2"/>
      <scheme val="minor"/>
    </font>
    <font>
      <b/>
      <sz val="13"/>
      <color theme="0"/>
      <name val="Calibri"/>
      <family val="2"/>
      <scheme val="minor"/>
    </font>
    <font>
      <b/>
      <sz val="12"/>
      <color theme="0"/>
      <name val="Calibri"/>
      <family val="2"/>
      <scheme val="minor"/>
    </font>
    <font>
      <sz val="10"/>
      <color rgb="FFFF0000"/>
      <name val="Calibri"/>
      <family val="2"/>
    </font>
    <font>
      <b/>
      <sz val="11"/>
      <color theme="0"/>
      <name val="Calibri"/>
      <family val="2"/>
      <scheme val="minor"/>
    </font>
    <font>
      <sz val="11"/>
      <color theme="0"/>
      <name val="Calibri"/>
      <family val="2"/>
      <scheme val="minor"/>
    </font>
    <font>
      <b/>
      <sz val="14"/>
      <color rgb="FFFF0000"/>
      <name val="Calibri"/>
      <family val="2"/>
      <scheme val="minor"/>
    </font>
    <font>
      <sz val="10"/>
      <color theme="0"/>
      <name val="Calibri"/>
      <family val="2"/>
    </font>
    <font>
      <sz val="10"/>
      <color rgb="FF006100"/>
      <name val="Calibri"/>
      <family val="2"/>
    </font>
    <font>
      <b/>
      <sz val="10"/>
      <name val="Arial"/>
      <family val="2"/>
    </font>
    <font>
      <b/>
      <sz val="12"/>
      <name val="Arial"/>
      <family val="2"/>
    </font>
    <font>
      <sz val="8"/>
      <color indexed="9"/>
      <name val="Arial"/>
      <family val="2"/>
    </font>
    <font>
      <u/>
      <sz val="11"/>
      <color theme="11"/>
      <name val="Calibri"/>
      <family val="2"/>
      <scheme val="minor"/>
    </font>
    <font>
      <sz val="11"/>
      <color rgb="FF0070C0"/>
      <name val="Calibri"/>
      <family val="2"/>
      <scheme val="minor"/>
    </font>
    <font>
      <u/>
      <sz val="10"/>
      <color theme="10"/>
      <name val="Calibri"/>
      <family val="2"/>
    </font>
    <font>
      <sz val="10"/>
      <color rgb="FF9C6500"/>
      <name val="Calibri"/>
      <family val="2"/>
    </font>
    <font>
      <sz val="8"/>
      <name val="Calibri"/>
      <family val="2"/>
      <scheme val="minor"/>
    </font>
    <font>
      <b/>
      <sz val="10"/>
      <color rgb="FFFFFFFF"/>
      <name val="EC Square Sans Pro"/>
      <family val="2"/>
    </font>
    <font>
      <b/>
      <i/>
      <u/>
      <sz val="10"/>
      <color rgb="FFFFFFFF"/>
      <name val="EC Square Sans Pro"/>
      <family val="2"/>
    </font>
    <font>
      <i/>
      <sz val="10"/>
      <color theme="1"/>
      <name val="EC Square Sans Pro"/>
      <family val="2"/>
    </font>
    <font>
      <sz val="10"/>
      <color theme="1"/>
      <name val="EC Square Sans Pro"/>
      <family val="2"/>
    </font>
    <font>
      <b/>
      <vertAlign val="subscript"/>
      <sz val="10"/>
      <color rgb="FFFFFFFF"/>
      <name val="EC Square Sans Pro"/>
      <family val="2"/>
    </font>
    <font>
      <i/>
      <vertAlign val="subscript"/>
      <sz val="10"/>
      <color theme="1"/>
      <name val="EC Square Sans Pro"/>
      <family val="2"/>
    </font>
    <font>
      <b/>
      <sz val="11"/>
      <color theme="1"/>
      <name val="EC Square Sans Pro"/>
      <family val="2"/>
    </font>
    <font>
      <b/>
      <sz val="9"/>
      <color rgb="FFFFFFFF"/>
      <name val="EC Square Sans Pro"/>
      <family val="2"/>
    </font>
    <font>
      <b/>
      <sz val="16"/>
      <color theme="1"/>
      <name val="Calibri"/>
      <family val="2"/>
      <scheme val="minor"/>
    </font>
    <font>
      <sz val="11"/>
      <color rgb="FFFF0000"/>
      <name val="Calibri"/>
      <family val="2"/>
      <scheme val="minor"/>
    </font>
    <font>
      <sz val="10"/>
      <color indexed="9"/>
      <name val="Calibri"/>
      <family val="2"/>
    </font>
    <font>
      <b/>
      <sz val="10"/>
      <color theme="9" tint="-0.249977111117893"/>
      <name val="Calibri"/>
      <family val="2"/>
    </font>
    <font>
      <b/>
      <sz val="10"/>
      <name val="Calibri"/>
      <family val="2"/>
      <scheme val="minor"/>
    </font>
    <font>
      <b/>
      <sz val="9"/>
      <color theme="1"/>
      <name val="Calibri"/>
      <family val="2"/>
      <scheme val="minor"/>
    </font>
    <font>
      <b/>
      <sz val="8"/>
      <name val="Calibri"/>
      <family val="2"/>
      <scheme val="minor"/>
    </font>
    <font>
      <b/>
      <sz val="9"/>
      <name val="Calibri"/>
      <family val="2"/>
      <scheme val="minor"/>
    </font>
    <font>
      <vertAlign val="subscript"/>
      <sz val="8"/>
      <name val="Calibri"/>
      <family val="2"/>
      <scheme val="minor"/>
    </font>
    <font>
      <b/>
      <i/>
      <sz val="9"/>
      <name val="Calibri"/>
      <family val="2"/>
      <scheme val="minor"/>
    </font>
    <font>
      <sz val="8"/>
      <name val="Symbol"/>
      <family val="1"/>
      <charset val="2"/>
    </font>
    <font>
      <sz val="8"/>
      <color rgb="FFFF0000"/>
      <name val="Calibri"/>
      <family val="2"/>
      <scheme val="minor"/>
    </font>
    <font>
      <b/>
      <sz val="9"/>
      <color indexed="8"/>
      <name val="Calibri"/>
      <family val="2"/>
      <scheme val="minor"/>
    </font>
    <font>
      <sz val="9"/>
      <name val="Calibri"/>
      <family val="2"/>
    </font>
    <font>
      <sz val="11"/>
      <color rgb="FF00B050"/>
      <name val="Calibri"/>
      <family val="2"/>
      <scheme val="minor"/>
    </font>
    <font>
      <sz val="11"/>
      <name val="Calibri"/>
      <family val="2"/>
    </font>
    <font>
      <sz val="8"/>
      <name val="Calibri"/>
      <family val="2"/>
    </font>
    <font>
      <b/>
      <sz val="10"/>
      <color indexed="12"/>
      <name val="Arial"/>
      <family val="2"/>
    </font>
    <font>
      <b/>
      <sz val="20"/>
      <color theme="1"/>
      <name val="Calibri"/>
      <family val="2"/>
      <scheme val="minor"/>
    </font>
  </fonts>
  <fills count="91">
    <fill>
      <patternFill patternType="none"/>
    </fill>
    <fill>
      <patternFill patternType="gray125"/>
    </fill>
    <fill>
      <patternFill patternType="solid">
        <fgColor indexed="29"/>
        <bgColor indexed="64"/>
      </patternFill>
    </fill>
    <fill>
      <patternFill patternType="solid">
        <fgColor indexed="43"/>
        <bgColor indexed="64"/>
      </patternFill>
    </fill>
    <fill>
      <patternFill patternType="solid">
        <fgColor theme="9" tint="0.59999389629810485"/>
        <bgColor indexed="64"/>
      </patternFill>
    </fill>
    <fill>
      <patternFill patternType="solid">
        <fgColor indexed="31"/>
        <bgColor indexed="64"/>
      </patternFill>
    </fill>
    <fill>
      <patternFill patternType="solid">
        <fgColor rgb="FFFFFF00"/>
        <bgColor indexed="64"/>
      </patternFill>
    </fill>
    <fill>
      <patternFill patternType="solid">
        <fgColor rgb="FFFFC7CE"/>
      </patternFill>
    </fill>
    <fill>
      <patternFill patternType="solid">
        <fgColor indexed="42"/>
      </patternFill>
    </fill>
    <fill>
      <patternFill patternType="solid">
        <fgColor indexed="42"/>
        <bgColor indexed="64"/>
      </patternFill>
    </fill>
    <fill>
      <patternFill patternType="solid">
        <fgColor indexed="31"/>
      </patternFill>
    </fill>
    <fill>
      <patternFill patternType="solid">
        <fgColor indexed="45"/>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tint="-0.34998626667073579"/>
        <bgColor indexed="64"/>
      </patternFill>
    </fill>
    <fill>
      <patternFill patternType="solid">
        <fgColor rgb="FF92D050"/>
        <bgColor indexed="64"/>
      </patternFill>
    </fill>
    <fill>
      <patternFill patternType="solid">
        <fgColor indexed="9"/>
        <bgColor indexed="64"/>
      </patternFill>
    </fill>
    <fill>
      <patternFill patternType="solid">
        <fgColor rgb="FFFFCC99"/>
      </patternFill>
    </fill>
    <fill>
      <patternFill patternType="solid">
        <fgColor rgb="FFF2F2F2"/>
      </patternFill>
    </fill>
    <fill>
      <patternFill patternType="solid">
        <fgColor indexed="47"/>
        <bgColor indexed="64"/>
      </patternFill>
    </fill>
    <fill>
      <patternFill patternType="solid">
        <fgColor indexed="55"/>
        <bgColor indexed="64"/>
      </patternFill>
    </fill>
    <fill>
      <patternFill patternType="solid">
        <fgColor theme="0"/>
        <bgColor indexed="64"/>
      </patternFill>
    </fill>
    <fill>
      <patternFill patternType="solid">
        <fgColor rgb="FFBED6EE"/>
        <bgColor indexed="64"/>
      </patternFill>
    </fill>
    <fill>
      <patternFill patternType="solid">
        <fgColor theme="6" tint="0.59996337778862885"/>
        <bgColor indexed="64"/>
      </patternFill>
    </fill>
    <fill>
      <patternFill patternType="solid">
        <fgColor rgb="FFFFC000"/>
        <bgColor indexed="64"/>
      </patternFill>
    </fill>
    <fill>
      <patternFill patternType="solid">
        <fgColor theme="0" tint="-0.24994659260841701"/>
        <bgColor indexed="64"/>
      </patternFill>
    </fill>
    <fill>
      <patternFill patternType="solid">
        <fgColor rgb="FFC6EFCE"/>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indexed="63"/>
        <bgColor indexed="64"/>
      </patternFill>
    </fill>
    <fill>
      <patternFill patternType="solid">
        <fgColor indexed="62"/>
        <bgColor indexed="64"/>
      </patternFill>
    </fill>
    <fill>
      <patternFill patternType="solid">
        <fgColor rgb="FFFFEB9C"/>
      </patternFill>
    </fill>
    <fill>
      <patternFill patternType="solid">
        <fgColor rgb="FFC0504D"/>
        <bgColor indexed="64"/>
      </patternFill>
    </fill>
    <fill>
      <patternFill patternType="solid">
        <fgColor theme="9" tint="-0.249977111117893"/>
        <bgColor indexed="64"/>
      </patternFill>
    </fill>
    <fill>
      <patternFill patternType="solid">
        <fgColor rgb="FFEFD3D2"/>
        <bgColor indexed="64"/>
      </patternFill>
    </fill>
    <fill>
      <patternFill patternType="solid">
        <fgColor rgb="FFDFA7A6"/>
        <bgColor indexed="64"/>
      </patternFill>
    </fill>
    <fill>
      <patternFill patternType="solid">
        <fgColor rgb="FFFF0000"/>
        <bgColor indexed="64"/>
      </patternFill>
    </fill>
    <fill>
      <patternFill patternType="solid">
        <fgColor rgb="FFFDE4D0"/>
        <bgColor indexed="64"/>
      </patternFill>
    </fill>
    <fill>
      <patternFill patternType="solid">
        <fgColor rgb="FFF79646"/>
        <bgColor indexed="64"/>
      </patternFill>
    </fill>
    <fill>
      <patternFill patternType="solid">
        <fgColor rgb="FFFBCAA2"/>
        <bgColor indexed="64"/>
      </patternFill>
    </fill>
    <fill>
      <patternFill patternType="solid">
        <fgColor theme="4" tint="0.59999389629810485"/>
        <bgColor indexed="64"/>
      </patternFill>
    </fill>
    <fill>
      <patternFill patternType="solid">
        <fgColor indexed="12"/>
        <bgColor indexed="64"/>
      </patternFill>
    </fill>
    <fill>
      <patternFill patternType="solid">
        <fgColor theme="8" tint="0.39997558519241921"/>
        <bgColor indexed="64"/>
      </patternFill>
    </fill>
    <fill>
      <patternFill patternType="solid">
        <fgColor theme="6" tint="0.59999389629810485"/>
        <bgColor indexed="64"/>
      </patternFill>
    </fill>
    <fill>
      <patternFill patternType="solid">
        <fgColor theme="4" tint="0.39997558519241921"/>
        <bgColor indexed="64"/>
      </patternFill>
    </fill>
    <fill>
      <patternFill patternType="solid">
        <fgColor rgb="FFFFFFFF"/>
        <bgColor indexed="64"/>
      </patternFill>
    </fill>
    <fill>
      <patternFill patternType="solid">
        <fgColor theme="0" tint="-0.14999847407452621"/>
        <bgColor indexed="64"/>
      </patternFill>
    </fill>
    <fill>
      <patternFill patternType="solid">
        <fgColor rgb="FFFFFFFF"/>
      </patternFill>
    </fill>
    <fill>
      <patternFill patternType="solid">
        <fgColor theme="4" tint="0.79998168889431442"/>
        <bgColor theme="4" tint="0.79998168889431442"/>
      </patternFill>
    </fill>
  </fills>
  <borders count="80">
    <border>
      <left/>
      <right/>
      <top/>
      <bottom/>
      <diagonal/>
    </border>
    <border>
      <left/>
      <right/>
      <top style="thin">
        <color auto="1"/>
      </top>
      <bottom/>
      <diagonal/>
    </border>
    <border>
      <left/>
      <right style="thin">
        <color auto="1"/>
      </right>
      <top style="thin">
        <color auto="1"/>
      </top>
      <bottom/>
      <diagonal/>
    </border>
    <border>
      <left/>
      <right/>
      <top style="thin">
        <color auto="1"/>
      </top>
      <bottom style="medium">
        <color auto="1"/>
      </bottom>
      <diagonal/>
    </border>
    <border>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auto="1"/>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style="thin">
        <color auto="1"/>
      </bottom>
      <diagonal/>
    </border>
    <border>
      <left style="medium">
        <color auto="1"/>
      </left>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style="thin">
        <color auto="1"/>
      </right>
      <top style="thin">
        <color auto="1"/>
      </top>
      <bottom style="medium">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medium">
        <color indexed="64"/>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bottom style="medium">
        <color indexed="64"/>
      </bottom>
      <diagonal/>
    </border>
    <border>
      <left style="medium">
        <color rgb="FFFFFFFF"/>
      </left>
      <right style="medium">
        <color rgb="FFFFFFFF"/>
      </right>
      <top style="medium">
        <color rgb="FFFFFFFF"/>
      </top>
      <bottom style="thick">
        <color rgb="FFFFFFFF"/>
      </bottom>
      <diagonal/>
    </border>
    <border>
      <left/>
      <right style="medium">
        <color rgb="FFFFFFFF"/>
      </right>
      <top style="medium">
        <color rgb="FFFFFFFF"/>
      </top>
      <bottom style="thick">
        <color rgb="FFFFFFFF"/>
      </bottom>
      <diagonal/>
    </border>
    <border>
      <left style="medium">
        <color rgb="FFFFFFFF"/>
      </left>
      <right/>
      <top style="thick">
        <color rgb="FFFFFFFF"/>
      </top>
      <bottom style="medium">
        <color rgb="FFFFFFFF"/>
      </bottom>
      <diagonal/>
    </border>
    <border>
      <left/>
      <right/>
      <top style="thick">
        <color rgb="FFFFFFFF"/>
      </top>
      <bottom style="medium">
        <color rgb="FFFFFFFF"/>
      </bottom>
      <diagonal/>
    </border>
    <border>
      <left/>
      <right style="thick">
        <color rgb="FFFFFFFF"/>
      </right>
      <top style="thick">
        <color rgb="FFFFFFFF"/>
      </top>
      <bottom style="medium">
        <color rgb="FFFFFFFF"/>
      </bottom>
      <diagonal/>
    </border>
    <border>
      <left style="medium">
        <color rgb="FFFFFFFF"/>
      </left>
      <right style="thick">
        <color rgb="FFFFFFFF"/>
      </right>
      <top style="medium">
        <color rgb="FFFFFFFF"/>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thick">
        <color rgb="FFFFFFFF"/>
      </right>
      <top style="medium">
        <color rgb="FFFFFFFF"/>
      </top>
      <bottom style="medium">
        <color rgb="FFFFFFFF"/>
      </bottom>
      <diagonal/>
    </border>
    <border>
      <left style="medium">
        <color rgb="FFFFFFFF"/>
      </left>
      <right style="thick">
        <color rgb="FFFFFFFF"/>
      </right>
      <top style="medium">
        <color rgb="FFFFFFFF"/>
      </top>
      <bottom style="medium">
        <color rgb="FFFFFFFF"/>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auto="1"/>
      </top>
      <bottom style="medium">
        <color auto="1"/>
      </bottom>
      <diagonal/>
    </border>
    <border>
      <left style="thin">
        <color indexed="64"/>
      </left>
      <right/>
      <top style="thin">
        <color indexed="64"/>
      </top>
      <bottom style="thin">
        <color indexed="64"/>
      </bottom>
      <diagonal/>
    </border>
    <border>
      <left/>
      <right/>
      <top style="thin">
        <color auto="1"/>
      </top>
      <bottom style="medium">
        <color auto="1"/>
      </bottom>
      <diagonal/>
    </border>
    <border>
      <left/>
      <right style="thin">
        <color auto="1"/>
      </right>
      <top style="thin">
        <color auto="1"/>
      </top>
      <bottom style="medium">
        <color indexed="64"/>
      </bottom>
      <diagonal/>
    </border>
    <border>
      <left/>
      <right/>
      <top style="thin">
        <color theme="6" tint="0.39997558519241921"/>
      </top>
      <bottom style="thin">
        <color theme="6" tint="0.3999755851924192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7723">
    <xf numFmtId="0" fontId="0" fillId="0" borderId="0"/>
    <xf numFmtId="0" fontId="1" fillId="0" borderId="0"/>
    <xf numFmtId="0" fontId="1" fillId="0" borderId="0"/>
    <xf numFmtId="0" fontId="1" fillId="0" borderId="0"/>
    <xf numFmtId="0" fontId="4" fillId="0" borderId="0"/>
    <xf numFmtId="0" fontId="5" fillId="7" borderId="0" applyNumberFormat="0" applyBorder="0" applyAlignment="0" applyProtection="0"/>
    <xf numFmtId="0" fontId="6" fillId="0" borderId="0"/>
    <xf numFmtId="0" fontId="6" fillId="0" borderId="0"/>
    <xf numFmtId="0" fontId="6" fillId="0" borderId="0"/>
    <xf numFmtId="0" fontId="6" fillId="0" borderId="0"/>
    <xf numFmtId="9" fontId="1" fillId="0" borderId="0" applyFont="0" applyFill="0" applyBorder="0" applyAlignment="0" applyProtection="0"/>
    <xf numFmtId="0" fontId="7" fillId="8"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4" borderId="0" applyNumberFormat="0" applyBorder="0" applyAlignment="0" applyProtection="0"/>
    <xf numFmtId="0" fontId="9" fillId="13" borderId="0" applyNumberFormat="0" applyBorder="0" applyAlignment="0" applyProtection="0"/>
    <xf numFmtId="0" fontId="9" fillId="8" borderId="0" applyNumberFormat="0" applyBorder="0" applyAlignment="0" applyProtection="0"/>
    <xf numFmtId="0" fontId="9" fillId="11" borderId="0" applyNumberFormat="0" applyBorder="0" applyAlignment="0" applyProtection="0"/>
    <xf numFmtId="0" fontId="9" fillId="10" borderId="0" applyNumberFormat="0" applyBorder="0" applyAlignment="0" applyProtection="0"/>
    <xf numFmtId="0" fontId="8" fillId="0" borderId="0"/>
    <xf numFmtId="0" fontId="9" fillId="16" borderId="0" applyNumberFormat="0" applyBorder="0" applyAlignment="0" applyProtection="0"/>
    <xf numFmtId="0" fontId="9" fillId="17"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8" borderId="0" applyNumberFormat="0" applyBorder="0" applyAlignment="0" applyProtection="0"/>
    <xf numFmtId="0" fontId="10" fillId="19"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1" fillId="27" borderId="5" applyNumberFormat="0" applyAlignment="0" applyProtection="0"/>
    <xf numFmtId="0" fontId="12" fillId="0" borderId="6" applyNumberFormat="0" applyFill="0" applyAlignment="0" applyProtection="0"/>
    <xf numFmtId="0" fontId="13" fillId="28" borderId="7" applyNumberFormat="0" applyAlignment="0" applyProtection="0"/>
    <xf numFmtId="0" fontId="10"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6" borderId="0" applyNumberFormat="0" applyBorder="0" applyAlignment="0" applyProtection="0"/>
    <xf numFmtId="172"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170" fontId="8" fillId="0" borderId="0" applyFont="0" applyFill="0" applyBorder="0" applyAlignment="0" applyProtection="0"/>
    <xf numFmtId="0" fontId="14" fillId="14" borderId="5" applyNumberFormat="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16" fillId="29" borderId="0" applyNumberFormat="0" applyBorder="0" applyAlignment="0" applyProtection="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9" fillId="0" borderId="0"/>
    <xf numFmtId="0" fontId="9"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5" fillId="0" borderId="0"/>
    <xf numFmtId="0" fontId="8" fillId="30" borderId="11" applyNumberFormat="0" applyFont="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171" fontId="8" fillId="0" borderId="0" applyFont="0" applyFill="0" applyBorder="0" applyAlignment="0" applyProtection="0"/>
    <xf numFmtId="0" fontId="17" fillId="27" borderId="12" applyNumberFormat="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0" borderId="8" applyNumberFormat="0" applyFill="0" applyAlignment="0" applyProtection="0"/>
    <xf numFmtId="0" fontId="22" fillId="0" borderId="9" applyNumberFormat="0" applyFill="0" applyAlignment="0" applyProtection="0"/>
    <xf numFmtId="0" fontId="23" fillId="0" borderId="10" applyNumberFormat="0" applyFill="0" applyAlignment="0" applyProtection="0"/>
    <xf numFmtId="0" fontId="23" fillId="0" borderId="0" applyNumberFormat="0" applyFill="0" applyBorder="0" applyAlignment="0" applyProtection="0"/>
    <xf numFmtId="0" fontId="24" fillId="0" borderId="13" applyNumberFormat="0" applyFill="0" applyAlignment="0" applyProtection="0"/>
    <xf numFmtId="0" fontId="25" fillId="11" borderId="0" applyNumberFormat="0" applyBorder="0" applyAlignment="0" applyProtection="0"/>
    <xf numFmtId="9" fontId="38" fillId="0" borderId="0" applyFont="0" applyFill="0" applyBorder="0" applyAlignment="0" applyProtection="0"/>
    <xf numFmtId="9" fontId="1"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43" fontId="38" fillId="0" borderId="0" applyFont="0" applyFill="0" applyBorder="0" applyAlignment="0" applyProtection="0"/>
    <xf numFmtId="168" fontId="6" fillId="0" borderId="0" applyFont="0" applyFill="0" applyBorder="0" applyAlignment="0" applyProtection="0"/>
    <xf numFmtId="0" fontId="16" fillId="29" borderId="0" applyNumberFormat="0" applyBorder="0" applyAlignment="0" applyProtection="0"/>
    <xf numFmtId="0" fontId="24" fillId="0" borderId="13" applyNumberFormat="0" applyFill="0" applyAlignment="0" applyProtection="0"/>
    <xf numFmtId="0" fontId="1" fillId="0" borderId="0"/>
    <xf numFmtId="172"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0" borderId="11" applyNumberFormat="0" applyFont="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44" fillId="0" borderId="0"/>
    <xf numFmtId="176" fontId="1" fillId="0" borderId="0"/>
    <xf numFmtId="3" fontId="1" fillId="38" borderId="21" applyFont="0" applyFill="0" applyBorder="0" applyAlignment="0" applyProtection="0"/>
    <xf numFmtId="0" fontId="1" fillId="0" borderId="0" applyNumberFormat="0" applyFont="0" applyFill="0" applyBorder="0" applyProtection="0">
      <alignment horizontal="left" vertical="center" indent="5"/>
    </xf>
    <xf numFmtId="4" fontId="48" fillId="36" borderId="23">
      <alignment horizontal="right" vertical="center"/>
    </xf>
    <xf numFmtId="4" fontId="48" fillId="36" borderId="23">
      <alignment horizontal="right" vertical="center"/>
    </xf>
    <xf numFmtId="3" fontId="54" fillId="39" borderId="21" applyNumberFormat="0" applyBorder="0" applyAlignment="0" applyProtection="0"/>
    <xf numFmtId="0" fontId="2" fillId="38" borderId="21" applyNumberFormat="0" applyBorder="0" applyAlignment="0" applyProtection="0"/>
    <xf numFmtId="168" fontId="46"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5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8" fontId="1"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0" fontId="49" fillId="0" borderId="24">
      <alignment horizontal="left" vertical="center" wrapText="1" indent="2"/>
    </xf>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5"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46" fillId="0" borderId="0" applyFont="0" applyFill="0" applyBorder="0" applyAlignment="0" applyProtection="0"/>
    <xf numFmtId="172" fontId="1" fillId="0" borderId="0" applyFont="0" applyFill="0" applyBorder="0" applyAlignment="0" applyProtection="0"/>
    <xf numFmtId="0"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2" fontId="46" fillId="0" borderId="0" applyFont="0" applyFill="0" applyBorder="0" applyAlignment="0" applyProtection="0"/>
    <xf numFmtId="176"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46" fillId="0" borderId="0" applyFont="0" applyFill="0" applyBorder="0" applyAlignment="0" applyProtection="0"/>
    <xf numFmtId="176" fontId="53" fillId="0" borderId="0" applyNumberFormat="0" applyFill="0" applyBorder="0" applyAlignment="0" applyProtection="0">
      <alignment vertical="top"/>
      <protection locked="0"/>
    </xf>
    <xf numFmtId="0" fontId="41" fillId="34" borderId="21" applyNumberFormat="0" applyAlignment="0" applyProtection="0"/>
    <xf numFmtId="4" fontId="49" fillId="0" borderId="0" applyBorder="0">
      <alignment horizontal="right" vertical="center"/>
    </xf>
    <xf numFmtId="168" fontId="9" fillId="0" borderId="0" applyFont="0" applyFill="0" applyBorder="0" applyAlignment="0" applyProtection="0"/>
    <xf numFmtId="168"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0" fontId="55" fillId="0" borderId="0" applyNumberFormat="0" applyFill="0" applyBorder="0" applyAlignment="0" applyProtection="0"/>
    <xf numFmtId="177" fontId="56" fillId="40" borderId="0" applyNumberFormat="0" applyBorder="0" applyAlignment="0" applyProtection="0">
      <alignment horizontal="center" vertical="top" wrapText="1"/>
    </xf>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0" fontId="1" fillId="0" borderId="0"/>
    <xf numFmtId="0" fontId="1" fillId="0" borderId="0"/>
    <xf numFmtId="0" fontId="6" fillId="0" borderId="0"/>
    <xf numFmtId="0" fontId="45" fillId="0" borderId="0" applyFill="0" applyBorder="0"/>
    <xf numFmtId="0" fontId="1" fillId="0" borderId="0"/>
    <xf numFmtId="0" fontId="6" fillId="0" borderId="0"/>
    <xf numFmtId="0" fontId="38" fillId="0" borderId="0"/>
    <xf numFmtId="0" fontId="1" fillId="0" borderId="0"/>
    <xf numFmtId="0" fontId="38" fillId="0" borderId="0"/>
    <xf numFmtId="0" fontId="31" fillId="0" borderId="0"/>
    <xf numFmtId="0" fontId="1" fillId="0" borderId="0"/>
    <xf numFmtId="0" fontId="38" fillId="0" borderId="0"/>
    <xf numFmtId="0" fontId="4" fillId="0" borderId="0"/>
    <xf numFmtId="0" fontId="46" fillId="0" borderId="0"/>
    <xf numFmtId="0" fontId="46" fillId="0" borderId="0"/>
    <xf numFmtId="0" fontId="38" fillId="0" borderId="0"/>
    <xf numFmtId="177" fontId="2" fillId="38" borderId="0" applyNumberFormat="0" applyBorder="0" applyAlignment="0"/>
    <xf numFmtId="4" fontId="49" fillId="0" borderId="23" applyFill="0" applyBorder="0" applyProtection="0">
      <alignment horizontal="right" vertical="center"/>
    </xf>
    <xf numFmtId="0" fontId="50" fillId="0" borderId="0" applyNumberFormat="0" applyFill="0" applyBorder="0" applyProtection="0">
      <alignment horizontal="left" vertical="center"/>
    </xf>
    <xf numFmtId="0" fontId="1" fillId="37" borderId="0" applyNumberFormat="0" applyFont="0" applyBorder="0" applyAlignment="0" applyProtection="0"/>
    <xf numFmtId="0" fontId="47" fillId="0" borderId="0"/>
    <xf numFmtId="0" fontId="1" fillId="30" borderId="11" applyNumberFormat="0" applyFont="0" applyAlignment="0" applyProtection="0"/>
    <xf numFmtId="0" fontId="46" fillId="30" borderId="11" applyNumberFormat="0" applyFont="0" applyAlignment="0" applyProtection="0"/>
    <xf numFmtId="0" fontId="1" fillId="30" borderId="11" applyNumberFormat="0" applyFont="0" applyAlignment="0" applyProtection="0"/>
    <xf numFmtId="0" fontId="1" fillId="30" borderId="11" applyNumberFormat="0" applyFont="0" applyAlignment="0" applyProtection="0"/>
    <xf numFmtId="0" fontId="1" fillId="30" borderId="11" applyNumberFormat="0" applyFont="0" applyAlignment="0" applyProtection="0"/>
    <xf numFmtId="0" fontId="46" fillId="30" borderId="11" applyNumberFormat="0" applyFont="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46" fillId="0" borderId="0" applyFont="0" applyFill="0" applyBorder="0" applyAlignment="0" applyProtection="0"/>
    <xf numFmtId="0" fontId="42" fillId="35" borderId="22" applyNumberFormat="0" applyAlignment="0" applyProtection="0"/>
    <xf numFmtId="0" fontId="57" fillId="41" borderId="0" applyNumberFormat="0" applyAlignment="0" applyProtection="0"/>
    <xf numFmtId="0" fontId="58" fillId="31" borderId="0" applyNumberFormat="0" applyAlignment="0" applyProtection="0"/>
    <xf numFmtId="0" fontId="59" fillId="42" borderId="0" applyNumberFormat="0" applyAlignment="0" applyProtection="0"/>
    <xf numFmtId="177" fontId="39" fillId="33" borderId="0" applyNumberFormat="0" applyFill="0" applyBorder="0" applyAlignment="0">
      <alignment horizontal="center"/>
    </xf>
    <xf numFmtId="9" fontId="46"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8" fillId="0" borderId="0" applyFont="0" applyFill="0" applyBorder="0" applyAlignment="0" applyProtection="0"/>
    <xf numFmtId="0" fontId="1" fillId="0" borderId="0"/>
    <xf numFmtId="0" fontId="60" fillId="35" borderId="21" applyNumberFormat="0" applyFill="0" applyBorder="0" applyAlignment="0" applyProtection="0"/>
    <xf numFmtId="0" fontId="52" fillId="35" borderId="21" applyFill="0" applyBorder="0" applyAlignment="0" applyProtection="0"/>
    <xf numFmtId="4" fontId="49" fillId="0" borderId="0"/>
    <xf numFmtId="0" fontId="38" fillId="0" borderId="0"/>
    <xf numFmtId="168" fontId="38" fillId="0" borderId="0" applyFont="0" applyFill="0" applyBorder="0" applyAlignment="0" applyProtection="0"/>
    <xf numFmtId="0" fontId="1" fillId="0" borderId="0"/>
    <xf numFmtId="0" fontId="5" fillId="7" borderId="0" applyNumberFormat="0" applyBorder="0" applyAlignment="0" applyProtection="0"/>
    <xf numFmtId="0" fontId="43" fillId="35" borderId="21" applyNumberFormat="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1"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4" fillId="0" borderId="0"/>
    <xf numFmtId="0" fontId="4" fillId="0" borderId="0"/>
    <xf numFmtId="0" fontId="4" fillId="0" borderId="0"/>
    <xf numFmtId="176" fontId="1" fillId="0" borderId="0"/>
    <xf numFmtId="3" fontId="1" fillId="38" borderId="21" applyFont="0" applyFill="0" applyBorder="0" applyAlignment="0" applyProtection="0"/>
    <xf numFmtId="0" fontId="1" fillId="0" borderId="0" applyNumberFormat="0" applyFont="0" applyFill="0" applyBorder="0" applyProtection="0">
      <alignment horizontal="left" vertical="center" indent="5"/>
    </xf>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5"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0" fontId="1"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6"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37" borderId="0" applyNumberFormat="0" applyFon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0" borderId="11" applyNumberFormat="0" applyFont="0" applyAlignment="0" applyProtection="0"/>
    <xf numFmtId="0" fontId="1" fillId="30" borderId="11" applyNumberFormat="0" applyFont="0" applyAlignment="0" applyProtection="0"/>
    <xf numFmtId="0" fontId="1" fillId="30" borderId="11" applyNumberFormat="0" applyFont="0" applyAlignment="0" applyProtection="0"/>
    <xf numFmtId="0" fontId="1" fillId="30" borderId="11" applyNumberFormat="0" applyFont="0" applyAlignment="0" applyProtection="0"/>
    <xf numFmtId="0" fontId="1" fillId="30" borderId="11" applyNumberFormat="0" applyFont="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8" fillId="0" borderId="0" applyFont="0" applyFill="0" applyBorder="0" applyAlignment="0" applyProtection="0"/>
    <xf numFmtId="0" fontId="38" fillId="0" borderId="0"/>
    <xf numFmtId="168" fontId="38" fillId="0" borderId="0" applyFont="0" applyFill="0" applyBorder="0" applyAlignment="0" applyProtection="0"/>
    <xf numFmtId="0" fontId="4" fillId="0" borderId="0"/>
    <xf numFmtId="0" fontId="38" fillId="47" borderId="0" applyNumberFormat="0" applyBorder="0" applyAlignment="0" applyProtection="0"/>
    <xf numFmtId="0" fontId="38" fillId="47"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63" borderId="0" applyNumberFormat="0" applyBorder="0" applyAlignment="0" applyProtection="0"/>
    <xf numFmtId="0" fontId="38" fillId="63" borderId="0" applyNumberFormat="0" applyBorder="0" applyAlignment="0" applyProtection="0"/>
    <xf numFmtId="0" fontId="38" fillId="67" borderId="0" applyNumberFormat="0" applyBorder="0" applyAlignment="0" applyProtection="0"/>
    <xf numFmtId="0" fontId="38" fillId="67"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8"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60" borderId="0" applyNumberFormat="0" applyBorder="0" applyAlignment="0" applyProtection="0"/>
    <xf numFmtId="0" fontId="38" fillId="60" borderId="0" applyNumberFormat="0" applyBorder="0" applyAlignment="0" applyProtection="0"/>
    <xf numFmtId="0" fontId="38" fillId="64" borderId="0" applyNumberFormat="0" applyBorder="0" applyAlignment="0" applyProtection="0"/>
    <xf numFmtId="0" fontId="38" fillId="64" borderId="0" applyNumberFormat="0" applyBorder="0" applyAlignment="0" applyProtection="0"/>
    <xf numFmtId="0" fontId="38" fillId="68" borderId="0" applyNumberFormat="0" applyBorder="0" applyAlignment="0" applyProtection="0"/>
    <xf numFmtId="0" fontId="38" fillId="68"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8" borderId="0" applyNumberFormat="0" applyBorder="0" applyAlignment="0" applyProtection="0"/>
    <xf numFmtId="0" fontId="62" fillId="49" borderId="0" applyNumberFormat="0" applyBorder="0" applyAlignment="0" applyProtection="0"/>
    <xf numFmtId="0" fontId="62" fillId="53" borderId="0" applyNumberFormat="0" applyBorder="0" applyAlignment="0" applyProtection="0"/>
    <xf numFmtId="0" fontId="62" fillId="57" borderId="0" applyNumberFormat="0" applyBorder="0" applyAlignment="0" applyProtection="0"/>
    <xf numFmtId="0" fontId="62" fillId="61" borderId="0" applyNumberFormat="0" applyBorder="0" applyAlignment="0" applyProtection="0"/>
    <xf numFmtId="0" fontId="62" fillId="65" borderId="0" applyNumberFormat="0" applyBorder="0" applyAlignment="0" applyProtection="0"/>
    <xf numFmtId="0" fontId="62" fillId="69" borderId="0" applyNumberFormat="0" applyBorder="0" applyAlignment="0" applyProtection="0"/>
    <xf numFmtId="0" fontId="3" fillId="7" borderId="0" applyNumberFormat="0" applyBorder="0" applyAlignment="0" applyProtection="0"/>
    <xf numFmtId="0" fontId="11" fillId="27" borderId="5" applyNumberFormat="0" applyAlignment="0" applyProtection="0"/>
    <xf numFmtId="0" fontId="11" fillId="27" borderId="5" applyNumberFormat="0" applyAlignment="0" applyProtection="0"/>
    <xf numFmtId="0" fontId="11" fillId="27" borderId="5" applyNumberFormat="0" applyAlignment="0" applyProtection="0"/>
    <xf numFmtId="168" fontId="46" fillId="0" borderId="0" applyFont="0" applyFill="0" applyBorder="0" applyAlignment="0" applyProtection="0"/>
    <xf numFmtId="165" fontId="46"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168" fontId="9"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0" fontId="49" fillId="0" borderId="24">
      <alignment horizontal="left" vertical="center" wrapText="1" indent="2"/>
    </xf>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2" fontId="1" fillId="0" borderId="0" applyFont="0" applyFill="0" applyBorder="0" applyAlignment="0" applyProtection="0"/>
    <xf numFmtId="172" fontId="1" fillId="0" borderId="0" applyFont="0" applyFill="0" applyBorder="0" applyAlignment="0" applyProtection="0"/>
    <xf numFmtId="172"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170" fontId="46" fillId="0" borderId="0" applyFont="0" applyFill="0" applyBorder="0" applyAlignment="0" applyProtection="0"/>
    <xf numFmtId="0" fontId="65" fillId="43" borderId="0" applyNumberFormat="0" applyBorder="0" applyAlignment="0" applyProtection="0"/>
    <xf numFmtId="176" fontId="53" fillId="0" borderId="0" applyNumberFormat="0" applyFill="0" applyBorder="0" applyAlignment="0" applyProtection="0">
      <alignment vertical="top"/>
      <protection locked="0"/>
    </xf>
    <xf numFmtId="0" fontId="14" fillId="14" borderId="5" applyNumberFormat="0" applyAlignment="0" applyProtection="0"/>
    <xf numFmtId="0" fontId="14" fillId="14" borderId="5" applyNumberFormat="0" applyAlignment="0" applyProtection="0"/>
    <xf numFmtId="0" fontId="14" fillId="14" borderId="5" applyNumberFormat="0" applyAlignment="0" applyProtection="0"/>
    <xf numFmtId="0" fontId="14" fillId="14" borderId="5" applyNumberFormat="0" applyAlignment="0" applyProtection="0"/>
    <xf numFmtId="0" fontId="41" fillId="34" borderId="21" applyNumberFormat="0" applyAlignment="0" applyProtection="0"/>
    <xf numFmtId="43" fontId="38" fillId="0" borderId="0" applyFont="0" applyFill="0" applyBorder="0" applyAlignment="0" applyProtection="0"/>
    <xf numFmtId="0" fontId="61" fillId="44" borderId="25" applyNumberFormat="0" applyAlignment="0" applyProtection="0"/>
    <xf numFmtId="0" fontId="62" fillId="46" borderId="0" applyNumberFormat="0" applyBorder="0" applyAlignment="0" applyProtection="0"/>
    <xf numFmtId="0" fontId="62" fillId="50" borderId="0" applyNumberFormat="0" applyBorder="0" applyAlignment="0" applyProtection="0"/>
    <xf numFmtId="0" fontId="62" fillId="54" borderId="0" applyNumberFormat="0" applyBorder="0" applyAlignment="0" applyProtection="0"/>
    <xf numFmtId="0" fontId="62" fillId="58" borderId="0" applyNumberFormat="0" applyBorder="0" applyAlignment="0" applyProtection="0"/>
    <xf numFmtId="0" fontId="62" fillId="62" borderId="0" applyNumberFormat="0" applyBorder="0" applyAlignment="0" applyProtection="0"/>
    <xf numFmtId="0" fontId="62" fillId="66" borderId="0" applyNumberFormat="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164" fontId="15" fillId="0" borderId="0" applyFont="0" applyFill="0" applyBorder="0" applyAlignment="0" applyProtection="0"/>
    <xf numFmtId="41"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165"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46"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6" fillId="0" borderId="0" applyFont="0" applyFill="0" applyBorder="0" applyAlignment="0" applyProtection="0"/>
    <xf numFmtId="43" fontId="1" fillId="0" borderId="0" applyFont="0" applyFill="0" applyBorder="0" applyAlignment="0" applyProtection="0"/>
    <xf numFmtId="0" fontId="16" fillId="29" borderId="0" applyNumberFormat="0" applyBorder="0" applyAlignment="0" applyProtection="0"/>
    <xf numFmtId="0" fontId="38" fillId="0" borderId="0"/>
    <xf numFmtId="0" fontId="1" fillId="0" borderId="0"/>
    <xf numFmtId="0" fontId="1" fillId="0" borderId="0"/>
    <xf numFmtId="0" fontId="1" fillId="0" borderId="0"/>
    <xf numFmtId="0" fontId="38" fillId="0" borderId="0"/>
    <xf numFmtId="0" fontId="1" fillId="0" borderId="0"/>
    <xf numFmtId="0" fontId="38" fillId="0" borderId="0"/>
    <xf numFmtId="0" fontId="1" fillId="0" borderId="0"/>
    <xf numFmtId="0" fontId="1" fillId="0" borderId="0"/>
    <xf numFmtId="0" fontId="1" fillId="0" borderId="0"/>
    <xf numFmtId="0" fontId="1" fillId="0" borderId="0"/>
    <xf numFmtId="0" fontId="38" fillId="0" borderId="0"/>
    <xf numFmtId="0" fontId="1" fillId="0" borderId="0"/>
    <xf numFmtId="0" fontId="38" fillId="0" borderId="0"/>
    <xf numFmtId="0" fontId="38" fillId="0" borderId="0"/>
    <xf numFmtId="0" fontId="38" fillId="0" borderId="0"/>
    <xf numFmtId="0" fontId="38" fillId="0" borderId="0"/>
    <xf numFmtId="0" fontId="6" fillId="0" borderId="0"/>
    <xf numFmtId="0" fontId="1"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5" fillId="0" borderId="0" applyFill="0" applyBorder="0"/>
    <xf numFmtId="0" fontId="38" fillId="0" borderId="0"/>
    <xf numFmtId="0" fontId="1" fillId="0" borderId="0"/>
    <xf numFmtId="0" fontId="38"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8" fillId="0" borderId="0"/>
    <xf numFmtId="0" fontId="38" fillId="0" borderId="0"/>
    <xf numFmtId="0" fontId="1" fillId="0" borderId="0"/>
    <xf numFmtId="0" fontId="1" fillId="0" borderId="0"/>
    <xf numFmtId="0" fontId="1" fillId="0" borderId="0"/>
    <xf numFmtId="0" fontId="1" fillId="0" borderId="0"/>
    <xf numFmtId="0" fontId="1" fillId="0" borderId="0"/>
    <xf numFmtId="0" fontId="1"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1" fillId="0" borderId="0"/>
    <xf numFmtId="0" fontId="4" fillId="0" borderId="0"/>
    <xf numFmtId="0" fontId="38" fillId="0" borderId="0"/>
    <xf numFmtId="0" fontId="38" fillId="0" borderId="0"/>
    <xf numFmtId="0" fontId="1" fillId="0" borderId="0"/>
    <xf numFmtId="0" fontId="1" fillId="0" borderId="0"/>
    <xf numFmtId="0" fontId="1" fillId="0" borderId="0"/>
    <xf numFmtId="0" fontId="3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4"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6"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46" fillId="0" borderId="0"/>
    <xf numFmtId="0" fontId="38" fillId="0" borderId="0"/>
    <xf numFmtId="0" fontId="38" fillId="0" borderId="0"/>
    <xf numFmtId="177" fontId="2" fillId="38" borderId="0" applyNumberFormat="0" applyBorder="0" applyAlignment="0"/>
    <xf numFmtId="4" fontId="49" fillId="0" borderId="23" applyFill="0" applyBorder="0" applyProtection="0">
      <alignment horizontal="right" vertical="center"/>
    </xf>
    <xf numFmtId="4" fontId="49" fillId="0" borderId="23" applyFill="0" applyBorder="0" applyProtection="0">
      <alignment horizontal="right" vertical="center"/>
    </xf>
    <xf numFmtId="0" fontId="9" fillId="0" borderId="0"/>
    <xf numFmtId="0" fontId="9" fillId="0" borderId="0"/>
    <xf numFmtId="0" fontId="46" fillId="30" borderId="11" applyNumberFormat="0" applyFont="0" applyAlignment="0" applyProtection="0"/>
    <xf numFmtId="0" fontId="46" fillId="30" borderId="11" applyNumberFormat="0" applyFont="0" applyAlignment="0" applyProtection="0"/>
    <xf numFmtId="0" fontId="1" fillId="30" borderId="11" applyNumberFormat="0" applyFont="0" applyAlignment="0" applyProtection="0"/>
    <xf numFmtId="0" fontId="46" fillId="30" borderId="11" applyNumberFormat="0" applyFont="0" applyAlignment="0" applyProtection="0"/>
    <xf numFmtId="0" fontId="1" fillId="30" borderId="11"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171" fontId="46" fillId="0" borderId="0" applyFont="0" applyFill="0" applyBorder="0" applyAlignment="0" applyProtection="0"/>
    <xf numFmtId="0" fontId="17" fillId="27" borderId="12" applyNumberFormat="0" applyAlignment="0" applyProtection="0"/>
    <xf numFmtId="0" fontId="17" fillId="27" borderId="12" applyNumberFormat="0" applyAlignment="0" applyProtection="0"/>
    <xf numFmtId="0" fontId="17" fillId="27" borderId="12" applyNumberFormat="0" applyAlignment="0" applyProtection="0"/>
    <xf numFmtId="0" fontId="17" fillId="27" borderId="12" applyNumberFormat="0" applyAlignment="0" applyProtection="0"/>
    <xf numFmtId="0" fontId="42" fillId="35" borderId="22" applyNumberFormat="0" applyAlignment="0" applyProtection="0"/>
    <xf numFmtId="9" fontId="1"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1"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38"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46" fillId="0" borderId="0" applyFont="0" applyFill="0" applyBorder="0" applyAlignment="0" applyProtection="0"/>
    <xf numFmtId="9" fontId="38"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66" fillId="71" borderId="23" applyNumberFormat="0" applyProtection="0">
      <alignment horizontal="right"/>
    </xf>
    <xf numFmtId="0" fontId="67" fillId="71" borderId="0" applyNumberFormat="0" applyBorder="0" applyProtection="0">
      <alignment horizontal="left"/>
    </xf>
    <xf numFmtId="0" fontId="66" fillId="71" borderId="23" applyNumberFormat="0" applyProtection="0">
      <alignment horizontal="left"/>
    </xf>
    <xf numFmtId="49" fontId="1" fillId="0" borderId="23" applyFill="0" applyProtection="0">
      <alignment horizontal="right"/>
    </xf>
    <xf numFmtId="0" fontId="68" fillId="72" borderId="0" applyNumberFormat="0" applyBorder="0" applyProtection="0">
      <alignment horizontal="lef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66" fillId="71" borderId="23" applyNumberFormat="0" applyProtection="0">
      <alignment horizontal="right"/>
    </xf>
    <xf numFmtId="0" fontId="67" fillId="71" borderId="0" applyNumberFormat="0" applyBorder="0" applyProtection="0">
      <alignment horizontal="left"/>
    </xf>
    <xf numFmtId="0" fontId="66" fillId="71" borderId="23" applyNumberFormat="0" applyProtection="0">
      <alignment horizontal="left"/>
    </xf>
    <xf numFmtId="49" fontId="1" fillId="0" borderId="23" applyFill="0" applyProtection="0">
      <alignment horizontal="right"/>
    </xf>
    <xf numFmtId="0" fontId="68" fillId="72" borderId="0" applyNumberFormat="0" applyBorder="0" applyProtection="0">
      <alignment horizontal="lef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66" fillId="71" borderId="23" applyNumberFormat="0" applyProtection="0">
      <alignment horizontal="right"/>
    </xf>
    <xf numFmtId="0" fontId="67" fillId="71" borderId="0" applyNumberFormat="0" applyBorder="0" applyProtection="0">
      <alignment horizontal="left"/>
    </xf>
    <xf numFmtId="0" fontId="66" fillId="71" borderId="23" applyNumberFormat="0" applyProtection="0">
      <alignment horizontal="left"/>
    </xf>
    <xf numFmtId="49" fontId="1" fillId="0" borderId="23" applyFill="0" applyProtection="0">
      <alignment horizontal="right"/>
    </xf>
    <xf numFmtId="0" fontId="68" fillId="72" borderId="0" applyNumberFormat="0" applyBorder="0" applyProtection="0">
      <alignment horizontal="lef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66" fillId="71" borderId="23" applyNumberFormat="0" applyProtection="0">
      <alignment horizontal="righ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66" fillId="71" borderId="23" applyNumberFormat="0" applyProtection="0">
      <alignment horizontal="right"/>
    </xf>
    <xf numFmtId="0" fontId="67" fillId="71" borderId="0" applyNumberFormat="0" applyBorder="0" applyProtection="0">
      <alignment horizontal="left"/>
    </xf>
    <xf numFmtId="0" fontId="66" fillId="71" borderId="23" applyNumberFormat="0" applyProtection="0">
      <alignment horizontal="left"/>
    </xf>
    <xf numFmtId="49" fontId="1" fillId="0" borderId="23" applyFill="0" applyProtection="0">
      <alignment horizontal="right"/>
    </xf>
    <xf numFmtId="0" fontId="68" fillId="72" borderId="0" applyNumberFormat="0" applyBorder="0" applyProtection="0">
      <alignment horizontal="lef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66" fillId="71" borderId="23" applyNumberFormat="0" applyProtection="0">
      <alignment horizontal="right"/>
    </xf>
    <xf numFmtId="0" fontId="67" fillId="71" borderId="0" applyNumberFormat="0" applyBorder="0" applyProtection="0">
      <alignment horizontal="left"/>
    </xf>
    <xf numFmtId="0" fontId="66" fillId="71" borderId="23" applyNumberFormat="0" applyProtection="0">
      <alignment horizontal="left"/>
    </xf>
    <xf numFmtId="49" fontId="1" fillId="0" borderId="23" applyFill="0" applyProtection="0">
      <alignment horizontal="right"/>
    </xf>
    <xf numFmtId="0" fontId="68" fillId="72" borderId="0" applyNumberFormat="0" applyBorder="0" applyProtection="0">
      <alignment horizontal="lef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66" fillId="71" borderId="23" applyNumberFormat="0" applyProtection="0">
      <alignment horizontal="right"/>
    </xf>
    <xf numFmtId="0" fontId="67" fillId="71" borderId="0" applyNumberFormat="0" applyBorder="0" applyProtection="0">
      <alignment horizontal="left"/>
    </xf>
    <xf numFmtId="0" fontId="66" fillId="71" borderId="23" applyNumberFormat="0" applyProtection="0">
      <alignment horizontal="left"/>
    </xf>
    <xf numFmtId="49" fontId="1" fillId="0" borderId="23" applyFill="0" applyProtection="0">
      <alignment horizontal="right"/>
    </xf>
    <xf numFmtId="0" fontId="68" fillId="72" borderId="0" applyNumberFormat="0" applyBorder="0" applyProtection="0">
      <alignment horizontal="left"/>
    </xf>
    <xf numFmtId="1" fontId="1" fillId="0" borderId="23" applyFill="0" applyProtection="0">
      <alignment horizontal="right" vertical="top" wrapText="1"/>
    </xf>
    <xf numFmtId="2" fontId="1" fillId="0" borderId="23" applyFill="0" applyProtection="0">
      <alignment horizontal="right" vertical="top" wrapText="1"/>
    </xf>
    <xf numFmtId="0" fontId="1" fillId="0" borderId="23" applyFill="0" applyProtection="0">
      <alignment horizontal="right" vertical="top" wrapText="1"/>
    </xf>
    <xf numFmtId="0" fontId="21" fillId="0" borderId="8" applyNumberFormat="0" applyFill="0" applyAlignment="0" applyProtection="0"/>
    <xf numFmtId="0" fontId="22" fillId="0" borderId="9" applyNumberFormat="0" applyFill="0" applyAlignment="0" applyProtection="0"/>
    <xf numFmtId="0" fontId="23" fillId="0" borderId="10"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24" fillId="0" borderId="13" applyNumberFormat="0" applyFill="0" applyAlignment="0" applyProtection="0"/>
    <xf numFmtId="0" fontId="1" fillId="0" borderId="0"/>
    <xf numFmtId="0" fontId="55" fillId="0" borderId="0" applyNumberFormat="0" applyFill="0" applyBorder="0" applyAlignment="0" applyProtection="0"/>
    <xf numFmtId="0" fontId="69" fillId="0" borderId="0" applyNumberFormat="0" applyFill="0" applyBorder="0" applyAlignment="0" applyProtection="0"/>
    <xf numFmtId="0" fontId="5" fillId="7" borderId="0" applyNumberFormat="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9" fillId="0" borderId="0" applyFont="0" applyFill="0" applyBorder="0" applyAlignment="0" applyProtection="0"/>
    <xf numFmtId="0" fontId="49" fillId="0" borderId="28">
      <alignment horizontal="left" vertical="center" wrapText="1" indent="2"/>
    </xf>
    <xf numFmtId="0" fontId="49" fillId="0" borderId="28">
      <alignment horizontal="left" vertical="center" wrapText="1" indent="2"/>
    </xf>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0" fontId="1" fillId="0" borderId="0" applyFont="0" applyFill="0" applyBorder="0" applyAlignment="0" applyProtection="0"/>
    <xf numFmtId="175" fontId="1" fillId="0" borderId="0" applyFont="0" applyFill="0" applyBorder="0" applyAlignment="0" applyProtection="0"/>
    <xf numFmtId="172"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170" fontId="1" fillId="0" borderId="0" applyFont="0" applyFill="0" applyBorder="0" applyAlignment="0" applyProtection="0"/>
    <xf numFmtId="0" fontId="71" fillId="0" borderId="0" applyNumberFormat="0" applyFill="0" applyBorder="0" applyAlignment="0" applyProtection="0"/>
    <xf numFmtId="168" fontId="6"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0" fontId="72" fillId="73" borderId="0" applyNumberFormat="0" applyBorder="0" applyAlignment="0" applyProtection="0"/>
    <xf numFmtId="0" fontId="6" fillId="0" borderId="0"/>
    <xf numFmtId="0" fontId="1" fillId="0" borderId="0"/>
    <xf numFmtId="0" fontId="4" fillId="0" borderId="0"/>
    <xf numFmtId="0" fontId="1" fillId="0" borderId="0"/>
    <xf numFmtId="0" fontId="1" fillId="0" borderId="0"/>
    <xf numFmtId="0" fontId="4" fillId="0" borderId="0"/>
    <xf numFmtId="4" fontId="49" fillId="0" borderId="27" applyFill="0" applyBorder="0" applyProtection="0">
      <alignment horizontal="right" vertical="center"/>
    </xf>
    <xf numFmtId="4" fontId="49" fillId="0" borderId="27" applyFill="0" applyBorder="0" applyProtection="0">
      <alignment horizontal="right" vertical="center"/>
    </xf>
    <xf numFmtId="4" fontId="49" fillId="0" borderId="27" applyFill="0" applyBorder="0" applyProtection="0">
      <alignment horizontal="right" vertical="center"/>
    </xf>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171"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0" fontId="66" fillId="71" borderId="27" applyNumberFormat="0" applyProtection="0">
      <alignment horizontal="right"/>
    </xf>
    <xf numFmtId="0" fontId="66" fillId="71" borderId="27" applyNumberFormat="0" applyProtection="0">
      <alignment horizontal="left"/>
    </xf>
    <xf numFmtId="49" fontId="1" fillId="0" borderId="27" applyFill="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0" fontId="66" fillId="71" borderId="27" applyNumberFormat="0" applyProtection="0">
      <alignment horizontal="right"/>
    </xf>
    <xf numFmtId="0" fontId="66" fillId="71" borderId="27" applyNumberFormat="0" applyProtection="0">
      <alignment horizontal="left"/>
    </xf>
    <xf numFmtId="49" fontId="1" fillId="0" borderId="27" applyFill="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0" fontId="66" fillId="71" borderId="27" applyNumberFormat="0" applyProtection="0">
      <alignment horizontal="right"/>
    </xf>
    <xf numFmtId="0" fontId="66" fillId="71" borderId="27" applyNumberFormat="0" applyProtection="0">
      <alignment horizontal="left"/>
    </xf>
    <xf numFmtId="49" fontId="1" fillId="0" borderId="27" applyFill="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0" fontId="66" fillId="71" borderId="27" applyNumberFormat="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0" fontId="66" fillId="71" borderId="27" applyNumberFormat="0" applyProtection="0">
      <alignment horizontal="right"/>
    </xf>
    <xf numFmtId="0" fontId="66" fillId="71" borderId="27" applyNumberFormat="0" applyProtection="0">
      <alignment horizontal="left"/>
    </xf>
    <xf numFmtId="49" fontId="1" fillId="0" borderId="27" applyFill="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0" fontId="66" fillId="71" borderId="27" applyNumberFormat="0" applyProtection="0">
      <alignment horizontal="right"/>
    </xf>
    <xf numFmtId="0" fontId="66" fillId="71" borderId="27" applyNumberFormat="0" applyProtection="0">
      <alignment horizontal="left"/>
    </xf>
    <xf numFmtId="49" fontId="1" fillId="0" borderId="27" applyFill="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0" fontId="66" fillId="71" borderId="27" applyNumberFormat="0" applyProtection="0">
      <alignment horizontal="right"/>
    </xf>
    <xf numFmtId="0" fontId="66" fillId="71" borderId="27" applyNumberFormat="0" applyProtection="0">
      <alignment horizontal="left"/>
    </xf>
    <xf numFmtId="49" fontId="1" fillId="0" borderId="27" applyFill="0" applyProtection="0">
      <alignment horizontal="right"/>
    </xf>
    <xf numFmtId="1" fontId="1" fillId="0" borderId="27" applyFill="0" applyProtection="0">
      <alignment horizontal="right" vertical="top" wrapText="1"/>
    </xf>
    <xf numFmtId="2" fontId="1" fillId="0" borderId="27" applyFill="0" applyProtection="0">
      <alignment horizontal="right" vertical="top" wrapText="1"/>
    </xf>
    <xf numFmtId="0" fontId="1" fillId="0" borderId="27" applyFill="0" applyProtection="0">
      <alignment horizontal="right" vertical="top" wrapText="1"/>
    </xf>
    <xf numFmtId="9" fontId="4" fillId="0" borderId="0" applyFont="0" applyFill="0" applyBorder="0" applyAlignment="0" applyProtection="0"/>
    <xf numFmtId="0" fontId="38" fillId="0" borderId="0"/>
    <xf numFmtId="168" fontId="4" fillId="0" borderId="0" applyFont="0" applyFill="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63" borderId="0" applyNumberFormat="0" applyBorder="0" applyAlignment="0" applyProtection="0"/>
    <xf numFmtId="0" fontId="38" fillId="63" borderId="0" applyNumberFormat="0" applyBorder="0" applyAlignment="0" applyProtection="0"/>
    <xf numFmtId="0" fontId="38" fillId="67" borderId="0" applyNumberFormat="0" applyBorder="0" applyAlignment="0" applyProtection="0"/>
    <xf numFmtId="0" fontId="38" fillId="67"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60" borderId="0" applyNumberFormat="0" applyBorder="0" applyAlignment="0" applyProtection="0"/>
    <xf numFmtId="0" fontId="38" fillId="60" borderId="0" applyNumberFormat="0" applyBorder="0" applyAlignment="0" applyProtection="0"/>
    <xf numFmtId="0" fontId="38" fillId="64" borderId="0" applyNumberFormat="0" applyBorder="0" applyAlignment="0" applyProtection="0"/>
    <xf numFmtId="0" fontId="38" fillId="64" borderId="0" applyNumberFormat="0" applyBorder="0" applyAlignment="0" applyProtection="0"/>
    <xf numFmtId="0" fontId="38" fillId="68" borderId="0" applyNumberFormat="0" applyBorder="0" applyAlignment="0" applyProtection="0"/>
    <xf numFmtId="0" fontId="38" fillId="68" borderId="0" applyNumberFormat="0" applyBorder="0" applyAlignment="0" applyProtection="0"/>
    <xf numFmtId="167" fontId="46"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8" fontId="9" fillId="0" borderId="0" applyFont="0" applyFill="0" applyBorder="0" applyAlignment="0" applyProtection="0"/>
    <xf numFmtId="167" fontId="1" fillId="0" borderId="0" applyFont="0" applyFill="0" applyBorder="0" applyAlignment="0" applyProtection="0"/>
    <xf numFmtId="168" fontId="6"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46" fillId="0" borderId="0" applyFont="0" applyFill="0" applyBorder="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168" fontId="4"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51" fillId="0" borderId="0" applyFont="0" applyFill="0" applyBorder="0" applyAlignment="0" applyProtection="0"/>
    <xf numFmtId="168" fontId="46" fillId="0" borderId="0" applyFont="0" applyFill="0" applyBorder="0" applyAlignment="0" applyProtection="0"/>
    <xf numFmtId="43" fontId="38"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38"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43" fontId="38" fillId="0" borderId="0" applyFont="0" applyFill="0" applyBorder="0" applyAlignment="0" applyProtection="0"/>
    <xf numFmtId="168" fontId="6"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63" borderId="0" applyNumberFormat="0" applyBorder="0" applyAlignment="0" applyProtection="0"/>
    <xf numFmtId="0" fontId="38" fillId="63" borderId="0" applyNumberFormat="0" applyBorder="0" applyAlignment="0" applyProtection="0"/>
    <xf numFmtId="0" fontId="38" fillId="67" borderId="0" applyNumberFormat="0" applyBorder="0" applyAlignment="0" applyProtection="0"/>
    <xf numFmtId="0" fontId="38" fillId="67"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60" borderId="0" applyNumberFormat="0" applyBorder="0" applyAlignment="0" applyProtection="0"/>
    <xf numFmtId="0" fontId="38" fillId="60" borderId="0" applyNumberFormat="0" applyBorder="0" applyAlignment="0" applyProtection="0"/>
    <xf numFmtId="0" fontId="38" fillId="64" borderId="0" applyNumberFormat="0" applyBorder="0" applyAlignment="0" applyProtection="0"/>
    <xf numFmtId="0" fontId="38" fillId="64" borderId="0" applyNumberFormat="0" applyBorder="0" applyAlignment="0" applyProtection="0"/>
    <xf numFmtId="0" fontId="38" fillId="68" borderId="0" applyNumberFormat="0" applyBorder="0" applyAlignment="0" applyProtection="0"/>
    <xf numFmtId="0" fontId="38" fillId="68" borderId="0" applyNumberFormat="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79" fontId="15"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46" fillId="0" borderId="0" applyFont="0" applyFill="0" applyBorder="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0" fontId="38" fillId="0" borderId="0"/>
    <xf numFmtId="9" fontId="38"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0" fontId="38" fillId="0" borderId="0"/>
    <xf numFmtId="0" fontId="38" fillId="0" borderId="0"/>
    <xf numFmtId="0" fontId="38" fillId="0" borderId="0"/>
    <xf numFmtId="0" fontId="38" fillId="0" borderId="0"/>
    <xf numFmtId="9" fontId="38" fillId="0" borderId="0" applyFont="0" applyFill="0" applyBorder="0" applyAlignment="0" applyProtection="0"/>
    <xf numFmtId="0" fontId="38" fillId="0" borderId="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0" fontId="38" fillId="0" borderId="0"/>
    <xf numFmtId="0" fontId="38" fillId="0" borderId="0"/>
    <xf numFmtId="0" fontId="38" fillId="0" borderId="0"/>
    <xf numFmtId="0" fontId="38" fillId="0" borderId="0"/>
    <xf numFmtId="9" fontId="38" fillId="0" borderId="0" applyFont="0" applyFill="0" applyBorder="0" applyAlignment="0" applyProtection="0"/>
    <xf numFmtId="0" fontId="38" fillId="0" borderId="0"/>
    <xf numFmtId="168" fontId="38" fillId="0" borderId="0" applyFont="0" applyFill="0" applyBorder="0" applyAlignment="0" applyProtection="0"/>
    <xf numFmtId="0" fontId="38" fillId="47" borderId="0" applyNumberFormat="0" applyBorder="0" applyAlignment="0" applyProtection="0"/>
    <xf numFmtId="0" fontId="38" fillId="47" borderId="0" applyNumberFormat="0" applyBorder="0" applyAlignment="0" applyProtection="0"/>
    <xf numFmtId="0" fontId="38" fillId="51" borderId="0" applyNumberFormat="0" applyBorder="0" applyAlignment="0" applyProtection="0"/>
    <xf numFmtId="0" fontId="38" fillId="51" borderId="0" applyNumberFormat="0" applyBorder="0" applyAlignment="0" applyProtection="0"/>
    <xf numFmtId="0" fontId="38" fillId="55" borderId="0" applyNumberFormat="0" applyBorder="0" applyAlignment="0" applyProtection="0"/>
    <xf numFmtId="0" fontId="38" fillId="55" borderId="0" applyNumberFormat="0" applyBorder="0" applyAlignment="0" applyProtection="0"/>
    <xf numFmtId="0" fontId="38" fillId="59" borderId="0" applyNumberFormat="0" applyBorder="0" applyAlignment="0" applyProtection="0"/>
    <xf numFmtId="0" fontId="38" fillId="59" borderId="0" applyNumberFormat="0" applyBorder="0" applyAlignment="0" applyProtection="0"/>
    <xf numFmtId="0" fontId="38" fillId="63" borderId="0" applyNumberFormat="0" applyBorder="0" applyAlignment="0" applyProtection="0"/>
    <xf numFmtId="0" fontId="38" fillId="63" borderId="0" applyNumberFormat="0" applyBorder="0" applyAlignment="0" applyProtection="0"/>
    <xf numFmtId="0" fontId="38" fillId="67" borderId="0" applyNumberFormat="0" applyBorder="0" applyAlignment="0" applyProtection="0"/>
    <xf numFmtId="0" fontId="38" fillId="67" borderId="0" applyNumberFormat="0" applyBorder="0" applyAlignment="0" applyProtection="0"/>
    <xf numFmtId="0" fontId="38" fillId="48" borderId="0" applyNumberFormat="0" applyBorder="0" applyAlignment="0" applyProtection="0"/>
    <xf numFmtId="0" fontId="38" fillId="48" borderId="0" applyNumberFormat="0" applyBorder="0" applyAlignment="0" applyProtection="0"/>
    <xf numFmtId="0" fontId="38" fillId="52" borderId="0" applyNumberFormat="0" applyBorder="0" applyAlignment="0" applyProtection="0"/>
    <xf numFmtId="0" fontId="38" fillId="52" borderId="0" applyNumberFormat="0" applyBorder="0" applyAlignment="0" applyProtection="0"/>
    <xf numFmtId="0" fontId="38" fillId="56" borderId="0" applyNumberFormat="0" applyBorder="0" applyAlignment="0" applyProtection="0"/>
    <xf numFmtId="0" fontId="38" fillId="56" borderId="0" applyNumberFormat="0" applyBorder="0" applyAlignment="0" applyProtection="0"/>
    <xf numFmtId="0" fontId="38" fillId="60" borderId="0" applyNumberFormat="0" applyBorder="0" applyAlignment="0" applyProtection="0"/>
    <xf numFmtId="0" fontId="38" fillId="60" borderId="0" applyNumberFormat="0" applyBorder="0" applyAlignment="0" applyProtection="0"/>
    <xf numFmtId="0" fontId="38" fillId="64" borderId="0" applyNumberFormat="0" applyBorder="0" applyAlignment="0" applyProtection="0"/>
    <xf numFmtId="0" fontId="38" fillId="64" borderId="0" applyNumberFormat="0" applyBorder="0" applyAlignment="0" applyProtection="0"/>
    <xf numFmtId="0" fontId="38" fillId="68" borderId="0" applyNumberFormat="0" applyBorder="0" applyAlignment="0" applyProtection="0"/>
    <xf numFmtId="0" fontId="38" fillId="68" borderId="0" applyNumberFormat="0" applyBorder="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0" fontId="38" fillId="45" borderId="26" applyNumberFormat="0" applyFont="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9" fontId="38" fillId="0" borderId="0" applyFont="0" applyFill="0" applyBorder="0" applyAlignment="0" applyProtection="0"/>
    <xf numFmtId="0" fontId="38" fillId="0" borderId="0"/>
    <xf numFmtId="9" fontId="38"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43"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0" fontId="38" fillId="0" borderId="0"/>
    <xf numFmtId="0" fontId="38" fillId="0" borderId="0"/>
    <xf numFmtId="0" fontId="38" fillId="0" borderId="0"/>
    <xf numFmtId="0" fontId="38" fillId="0" borderId="0"/>
    <xf numFmtId="9" fontId="38" fillId="0" borderId="0" applyFont="0" applyFill="0" applyBorder="0" applyAlignment="0" applyProtection="0"/>
    <xf numFmtId="0" fontId="38" fillId="0" borderId="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168" fontId="38" fillId="0" borderId="0" applyFont="0" applyFill="0" applyBorder="0" applyAlignment="0" applyProtection="0"/>
    <xf numFmtId="0" fontId="38" fillId="0" borderId="0"/>
    <xf numFmtId="0" fontId="38" fillId="0" borderId="0"/>
    <xf numFmtId="0" fontId="38" fillId="0" borderId="0"/>
    <xf numFmtId="0" fontId="38" fillId="0" borderId="0"/>
    <xf numFmtId="9" fontId="38" fillId="0" borderId="0" applyFont="0" applyFill="0" applyBorder="0" applyAlignment="0" applyProtection="0"/>
    <xf numFmtId="0" fontId="38" fillId="0" borderId="0"/>
    <xf numFmtId="168" fontId="38" fillId="0" borderId="0" applyFont="0" applyFill="0" applyBorder="0" applyAlignment="0" applyProtection="0"/>
    <xf numFmtId="0" fontId="11" fillId="27" borderId="30" applyNumberFormat="0" applyAlignment="0" applyProtection="0"/>
    <xf numFmtId="0" fontId="14" fillId="14" borderId="30" applyNumberFormat="0" applyAlignment="0" applyProtection="0"/>
    <xf numFmtId="0" fontId="1" fillId="30" borderId="31" applyNumberFormat="0" applyFont="0" applyAlignment="0" applyProtection="0"/>
    <xf numFmtId="0" fontId="1" fillId="30" borderId="31" applyNumberFormat="0" applyFont="0" applyAlignment="0" applyProtection="0"/>
    <xf numFmtId="0" fontId="49" fillId="0" borderId="33">
      <alignment horizontal="left" vertical="center" wrapText="1" indent="2"/>
    </xf>
    <xf numFmtId="4" fontId="49" fillId="0" borderId="32" applyFill="0" applyBorder="0" applyProtection="0">
      <alignment horizontal="right" vertical="center"/>
    </xf>
    <xf numFmtId="0" fontId="1" fillId="30" borderId="31" applyNumberFormat="0" applyFont="0" applyAlignment="0" applyProtection="0"/>
    <xf numFmtId="0" fontId="46" fillId="30" borderId="31" applyNumberFormat="0" applyFont="0" applyAlignment="0" applyProtection="0"/>
    <xf numFmtId="0" fontId="1" fillId="30" borderId="31" applyNumberFormat="0" applyFont="0" applyAlignment="0" applyProtection="0"/>
    <xf numFmtId="0" fontId="1" fillId="30" borderId="31" applyNumberFormat="0" applyFont="0" applyAlignment="0" applyProtection="0"/>
    <xf numFmtId="0" fontId="1" fillId="30" borderId="31" applyNumberFormat="0" applyFont="0" applyAlignment="0" applyProtection="0"/>
    <xf numFmtId="0" fontId="46" fillId="30" borderId="31" applyNumberFormat="0" applyFont="0" applyAlignment="0" applyProtection="0"/>
    <xf numFmtId="0" fontId="1" fillId="30" borderId="31" applyNumberFormat="0" applyFont="0" applyAlignment="0" applyProtection="0"/>
    <xf numFmtId="0" fontId="1" fillId="30" borderId="31" applyNumberFormat="0" applyFont="0" applyAlignment="0" applyProtection="0"/>
    <xf numFmtId="0" fontId="1" fillId="30" borderId="31" applyNumberFormat="0" applyFont="0" applyAlignment="0" applyProtection="0"/>
    <xf numFmtId="0" fontId="1" fillId="30" borderId="31" applyNumberFormat="0" applyFont="0" applyAlignment="0" applyProtection="0"/>
    <xf numFmtId="0" fontId="1" fillId="30" borderId="31" applyNumberFormat="0" applyFont="0" applyAlignment="0" applyProtection="0"/>
    <xf numFmtId="0" fontId="11" fillId="27" borderId="30" applyNumberFormat="0" applyAlignment="0" applyProtection="0"/>
    <xf numFmtId="0" fontId="11" fillId="27" borderId="30" applyNumberFormat="0" applyAlignment="0" applyProtection="0"/>
    <xf numFmtId="0" fontId="11" fillId="27" borderId="30" applyNumberFormat="0" applyAlignment="0" applyProtection="0"/>
    <xf numFmtId="0" fontId="49" fillId="0" borderId="33">
      <alignment horizontal="left" vertical="center" wrapText="1" indent="2"/>
    </xf>
    <xf numFmtId="0" fontId="14" fillId="14" borderId="30" applyNumberFormat="0" applyAlignment="0" applyProtection="0"/>
    <xf numFmtId="0" fontId="14" fillId="14" borderId="30" applyNumberFormat="0" applyAlignment="0" applyProtection="0"/>
    <xf numFmtId="0" fontId="14" fillId="14" borderId="30" applyNumberFormat="0" applyAlignment="0" applyProtection="0"/>
    <xf numFmtId="0" fontId="14" fillId="14" borderId="30" applyNumberFormat="0" applyAlignment="0" applyProtection="0"/>
    <xf numFmtId="4" fontId="49" fillId="0" borderId="32" applyFill="0" applyBorder="0" applyProtection="0">
      <alignment horizontal="right" vertical="center"/>
    </xf>
    <xf numFmtId="4" fontId="49" fillId="0" borderId="32" applyFill="0" applyBorder="0" applyProtection="0">
      <alignment horizontal="right" vertical="center"/>
    </xf>
    <xf numFmtId="0" fontId="46" fillId="30" borderId="31" applyNumberFormat="0" applyFont="0" applyAlignment="0" applyProtection="0"/>
    <xf numFmtId="0" fontId="46" fillId="30" borderId="31" applyNumberFormat="0" applyFont="0" applyAlignment="0" applyProtection="0"/>
    <xf numFmtId="0" fontId="1" fillId="30" borderId="31" applyNumberFormat="0" applyFont="0" applyAlignment="0" applyProtection="0"/>
    <xf numFmtId="0" fontId="46" fillId="30" borderId="31" applyNumberFormat="0" applyFont="0" applyAlignment="0" applyProtection="0"/>
    <xf numFmtId="0" fontId="1" fillId="30" borderId="31" applyNumberFormat="0" applyFont="0" applyAlignment="0" applyProtection="0"/>
    <xf numFmtId="0" fontId="66" fillId="71" borderId="32" applyNumberFormat="0" applyProtection="0">
      <alignment horizontal="right"/>
    </xf>
    <xf numFmtId="0" fontId="66" fillId="71" borderId="32" applyNumberFormat="0" applyProtection="0">
      <alignment horizontal="left"/>
    </xf>
    <xf numFmtId="49" fontId="1" fillId="0" borderId="32" applyFill="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66" fillId="71" borderId="32" applyNumberFormat="0" applyProtection="0">
      <alignment horizontal="right"/>
    </xf>
    <xf numFmtId="0" fontId="66" fillId="71" borderId="32" applyNumberFormat="0" applyProtection="0">
      <alignment horizontal="left"/>
    </xf>
    <xf numFmtId="49" fontId="1" fillId="0" borderId="32" applyFill="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66" fillId="71" borderId="32" applyNumberFormat="0" applyProtection="0">
      <alignment horizontal="right"/>
    </xf>
    <xf numFmtId="0" fontId="66" fillId="71" borderId="32" applyNumberFormat="0" applyProtection="0">
      <alignment horizontal="left"/>
    </xf>
    <xf numFmtId="49" fontId="1" fillId="0" borderId="32" applyFill="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66" fillId="71" borderId="32" applyNumberFormat="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66" fillId="71" borderId="32" applyNumberFormat="0" applyProtection="0">
      <alignment horizontal="right"/>
    </xf>
    <xf numFmtId="0" fontId="66" fillId="71" borderId="32" applyNumberFormat="0" applyProtection="0">
      <alignment horizontal="left"/>
    </xf>
    <xf numFmtId="49" fontId="1" fillId="0" borderId="32" applyFill="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66" fillId="71" borderId="32" applyNumberFormat="0" applyProtection="0">
      <alignment horizontal="right"/>
    </xf>
    <xf numFmtId="0" fontId="66" fillId="71" borderId="32" applyNumberFormat="0" applyProtection="0">
      <alignment horizontal="left"/>
    </xf>
    <xf numFmtId="49" fontId="1" fillId="0" borderId="32" applyFill="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66" fillId="71" borderId="32" applyNumberFormat="0" applyProtection="0">
      <alignment horizontal="right"/>
    </xf>
    <xf numFmtId="0" fontId="66" fillId="71" borderId="32" applyNumberFormat="0" applyProtection="0">
      <alignment horizontal="left"/>
    </xf>
    <xf numFmtId="49" fontId="1" fillId="0" borderId="32" applyFill="0" applyProtection="0">
      <alignment horizontal="right"/>
    </xf>
    <xf numFmtId="1" fontId="1" fillId="0" borderId="32" applyFill="0" applyProtection="0">
      <alignment horizontal="right" vertical="top" wrapText="1"/>
    </xf>
    <xf numFmtId="2" fontId="1" fillId="0" borderId="32" applyFill="0" applyProtection="0">
      <alignment horizontal="right" vertical="top" wrapText="1"/>
    </xf>
    <xf numFmtId="0" fontId="1" fillId="0" borderId="32" applyFill="0" applyProtection="0">
      <alignment horizontal="right" vertical="top" wrapText="1"/>
    </xf>
    <xf numFmtId="0" fontId="11" fillId="27" borderId="34" applyNumberFormat="0" applyAlignment="0" applyProtection="0"/>
    <xf numFmtId="0" fontId="14" fillId="14" borderId="34" applyNumberFormat="0" applyAlignment="0" applyProtection="0"/>
    <xf numFmtId="0" fontId="1" fillId="30" borderId="35" applyNumberFormat="0" applyFont="0" applyAlignment="0" applyProtection="0"/>
    <xf numFmtId="0" fontId="1" fillId="30" borderId="35" applyNumberFormat="0" applyFont="0" applyAlignment="0" applyProtection="0"/>
    <xf numFmtId="0" fontId="49" fillId="0" borderId="37">
      <alignment horizontal="left" vertical="center" wrapText="1" indent="2"/>
    </xf>
    <xf numFmtId="4" fontId="49" fillId="0" borderId="36" applyFill="0" applyBorder="0" applyProtection="0">
      <alignment horizontal="right" vertical="center"/>
    </xf>
    <xf numFmtId="0" fontId="1" fillId="30" borderId="35" applyNumberFormat="0" applyFont="0" applyAlignment="0" applyProtection="0"/>
    <xf numFmtId="0" fontId="46" fillId="30" borderId="35" applyNumberFormat="0" applyFont="0" applyAlignment="0" applyProtection="0"/>
    <xf numFmtId="0" fontId="1" fillId="30" borderId="35" applyNumberFormat="0" applyFont="0" applyAlignment="0" applyProtection="0"/>
    <xf numFmtId="0" fontId="1" fillId="30" borderId="35" applyNumberFormat="0" applyFont="0" applyAlignment="0" applyProtection="0"/>
    <xf numFmtId="0" fontId="1" fillId="30" borderId="35" applyNumberFormat="0" applyFont="0" applyAlignment="0" applyProtection="0"/>
    <xf numFmtId="0" fontId="46" fillId="30" borderId="35" applyNumberFormat="0" applyFont="0" applyAlignment="0" applyProtection="0"/>
    <xf numFmtId="0" fontId="1" fillId="30" borderId="35" applyNumberFormat="0" applyFont="0" applyAlignment="0" applyProtection="0"/>
    <xf numFmtId="0" fontId="1" fillId="30" borderId="35" applyNumberFormat="0" applyFont="0" applyAlignment="0" applyProtection="0"/>
    <xf numFmtId="0" fontId="1" fillId="30" borderId="35" applyNumberFormat="0" applyFont="0" applyAlignment="0" applyProtection="0"/>
    <xf numFmtId="0" fontId="1" fillId="30" borderId="35" applyNumberFormat="0" applyFont="0" applyAlignment="0" applyProtection="0"/>
    <xf numFmtId="0" fontId="1" fillId="30" borderId="35" applyNumberFormat="0" applyFont="0" applyAlignment="0" applyProtection="0"/>
    <xf numFmtId="0" fontId="11" fillId="27" borderId="34" applyNumberFormat="0" applyAlignment="0" applyProtection="0"/>
    <xf numFmtId="0" fontId="11" fillId="27" borderId="34" applyNumberFormat="0" applyAlignment="0" applyProtection="0"/>
    <xf numFmtId="0" fontId="11" fillId="27" borderId="34" applyNumberFormat="0" applyAlignment="0" applyProtection="0"/>
    <xf numFmtId="0" fontId="49" fillId="0" borderId="37">
      <alignment horizontal="left" vertical="center" wrapText="1" indent="2"/>
    </xf>
    <xf numFmtId="0" fontId="14" fillId="14" borderId="34" applyNumberFormat="0" applyAlignment="0" applyProtection="0"/>
    <xf numFmtId="0" fontId="14" fillId="14" borderId="34" applyNumberFormat="0" applyAlignment="0" applyProtection="0"/>
    <xf numFmtId="0" fontId="14" fillId="14" borderId="34" applyNumberFormat="0" applyAlignment="0" applyProtection="0"/>
    <xf numFmtId="0" fontId="14" fillId="14" borderId="34" applyNumberFormat="0" applyAlignment="0" applyProtection="0"/>
    <xf numFmtId="4" fontId="49" fillId="0" borderId="36" applyFill="0" applyBorder="0" applyProtection="0">
      <alignment horizontal="right" vertical="center"/>
    </xf>
    <xf numFmtId="4" fontId="49" fillId="0" borderId="36" applyFill="0" applyBorder="0" applyProtection="0">
      <alignment horizontal="right" vertical="center"/>
    </xf>
    <xf numFmtId="0" fontId="46" fillId="30" borderId="35" applyNumberFormat="0" applyFont="0" applyAlignment="0" applyProtection="0"/>
    <xf numFmtId="0" fontId="46" fillId="30" borderId="35" applyNumberFormat="0" applyFont="0" applyAlignment="0" applyProtection="0"/>
    <xf numFmtId="0" fontId="1" fillId="30" borderId="35" applyNumberFormat="0" applyFont="0" applyAlignment="0" applyProtection="0"/>
    <xf numFmtId="0" fontId="46" fillId="30" borderId="35" applyNumberFormat="0" applyFont="0" applyAlignment="0" applyProtection="0"/>
    <xf numFmtId="0" fontId="1" fillId="30" borderId="35" applyNumberFormat="0" applyFont="0" applyAlignment="0" applyProtection="0"/>
    <xf numFmtId="0" fontId="66" fillId="71" borderId="36" applyNumberFormat="0" applyProtection="0">
      <alignment horizontal="right"/>
    </xf>
    <xf numFmtId="0" fontId="66" fillId="71" borderId="36" applyNumberFormat="0" applyProtection="0">
      <alignment horizontal="left"/>
    </xf>
    <xf numFmtId="49" fontId="1" fillId="0" borderId="36" applyFill="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66" fillId="71" borderId="36" applyNumberFormat="0" applyProtection="0">
      <alignment horizontal="right"/>
    </xf>
    <xf numFmtId="0" fontId="66" fillId="71" borderId="36" applyNumberFormat="0" applyProtection="0">
      <alignment horizontal="left"/>
    </xf>
    <xf numFmtId="49" fontId="1" fillId="0" borderId="36" applyFill="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66" fillId="71" borderId="36" applyNumberFormat="0" applyProtection="0">
      <alignment horizontal="right"/>
    </xf>
    <xf numFmtId="0" fontId="66" fillId="71" borderId="36" applyNumberFormat="0" applyProtection="0">
      <alignment horizontal="left"/>
    </xf>
    <xf numFmtId="49" fontId="1" fillId="0" borderId="36" applyFill="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66" fillId="71" borderId="36" applyNumberFormat="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66" fillId="71" borderId="36" applyNumberFormat="0" applyProtection="0">
      <alignment horizontal="right"/>
    </xf>
    <xf numFmtId="0" fontId="66" fillId="71" borderId="36" applyNumberFormat="0" applyProtection="0">
      <alignment horizontal="left"/>
    </xf>
    <xf numFmtId="49" fontId="1" fillId="0" borderId="36" applyFill="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66" fillId="71" borderId="36" applyNumberFormat="0" applyProtection="0">
      <alignment horizontal="right"/>
    </xf>
    <xf numFmtId="0" fontId="66" fillId="71" borderId="36" applyNumberFormat="0" applyProtection="0">
      <alignment horizontal="left"/>
    </xf>
    <xf numFmtId="49" fontId="1" fillId="0" borderId="36" applyFill="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66" fillId="71" borderId="36" applyNumberFormat="0" applyProtection="0">
      <alignment horizontal="right"/>
    </xf>
    <xf numFmtId="0" fontId="66" fillId="71" borderId="36" applyNumberFormat="0" applyProtection="0">
      <alignment horizontal="left"/>
    </xf>
    <xf numFmtId="49" fontId="1" fillId="0" borderId="36" applyFill="0" applyProtection="0">
      <alignment horizontal="right"/>
    </xf>
    <xf numFmtId="1" fontId="1" fillId="0" borderId="36" applyFill="0" applyProtection="0">
      <alignment horizontal="right" vertical="top" wrapText="1"/>
    </xf>
    <xf numFmtId="2" fontId="1" fillId="0" borderId="36" applyFill="0" applyProtection="0">
      <alignment horizontal="right" vertical="top" wrapText="1"/>
    </xf>
    <xf numFmtId="0" fontId="1" fillId="0" borderId="36" applyFill="0" applyProtection="0">
      <alignment horizontal="right" vertical="top" wrapText="1"/>
    </xf>
    <xf numFmtId="0" fontId="11" fillId="27" borderId="39" applyNumberFormat="0" applyAlignment="0" applyProtection="0"/>
    <xf numFmtId="0" fontId="11" fillId="27" borderId="39" applyNumberFormat="0" applyAlignment="0" applyProtection="0"/>
    <xf numFmtId="0" fontId="11" fillId="27" borderId="39" applyNumberFormat="0" applyAlignment="0" applyProtection="0"/>
    <xf numFmtId="0" fontId="11" fillId="27" borderId="39" applyNumberFormat="0" applyAlignment="0" applyProtection="0"/>
    <xf numFmtId="0" fontId="49" fillId="0" borderId="40">
      <alignment horizontal="left" vertical="center" wrapText="1" indent="2"/>
    </xf>
    <xf numFmtId="0" fontId="49" fillId="0" borderId="40">
      <alignment horizontal="left" vertical="center" wrapText="1" indent="2"/>
    </xf>
    <xf numFmtId="0" fontId="14" fillId="14" borderId="39" applyNumberFormat="0" applyAlignment="0" applyProtection="0"/>
    <xf numFmtId="0" fontId="14" fillId="14" borderId="39" applyNumberFormat="0" applyAlignment="0" applyProtection="0"/>
    <xf numFmtId="0" fontId="14" fillId="14" borderId="39" applyNumberFormat="0" applyAlignment="0" applyProtection="0"/>
    <xf numFmtId="0" fontId="14" fillId="14" borderId="39" applyNumberFormat="0" applyAlignment="0" applyProtection="0"/>
    <xf numFmtId="0" fontId="14" fillId="14" borderId="39" applyNumberFormat="0" applyAlignment="0" applyProtection="0"/>
    <xf numFmtId="0" fontId="14" fillId="14" borderId="39" applyNumberFormat="0" applyAlignment="0" applyProtection="0"/>
    <xf numFmtId="0" fontId="17" fillId="27" borderId="43" applyNumberFormat="0" applyAlignment="0" applyProtection="0"/>
    <xf numFmtId="0" fontId="17" fillId="27" borderId="43" applyNumberFormat="0" applyAlignment="0" applyProtection="0"/>
    <xf numFmtId="0" fontId="17" fillId="27" borderId="43" applyNumberFormat="0" applyAlignment="0" applyProtection="0"/>
    <xf numFmtId="0" fontId="17" fillId="27" borderId="43" applyNumberFormat="0" applyAlignment="0" applyProtection="0"/>
    <xf numFmtId="0" fontId="17" fillId="27" borderId="43" applyNumberFormat="0" applyAlignment="0" applyProtection="0"/>
    <xf numFmtId="0" fontId="17" fillId="27" borderId="43" applyNumberFormat="0" applyAlignment="0" applyProtection="0"/>
    <xf numFmtId="4" fontId="49" fillId="0" borderId="38" applyFill="0" applyBorder="0" applyProtection="0">
      <alignment horizontal="right" vertical="center"/>
    </xf>
    <xf numFmtId="4" fontId="49" fillId="0" borderId="38" applyFill="0" applyBorder="0" applyProtection="0">
      <alignment horizontal="right" vertical="center"/>
    </xf>
    <xf numFmtId="4" fontId="49" fillId="0" borderId="38" applyFill="0" applyBorder="0" applyProtection="0">
      <alignment horizontal="right" vertical="center"/>
    </xf>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46" fillId="30" borderId="41" applyNumberFormat="0" applyFont="0" applyAlignment="0" applyProtection="0"/>
    <xf numFmtId="0" fontId="46"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1" fillId="30" borderId="41" applyNumberFormat="0" applyFont="0" applyAlignment="0" applyProtection="0"/>
    <xf numFmtId="0" fontId="46" fillId="30" borderId="41" applyNumberFormat="0" applyFont="0" applyAlignment="0" applyProtection="0"/>
    <xf numFmtId="0" fontId="46" fillId="30" borderId="41" applyNumberFormat="0" applyFont="0" applyAlignment="0" applyProtection="0"/>
    <xf numFmtId="0" fontId="1" fillId="30" borderId="41" applyNumberFormat="0" applyFont="0" applyAlignment="0" applyProtection="0"/>
    <xf numFmtId="0" fontId="66" fillId="71" borderId="38" applyNumberFormat="0" applyProtection="0">
      <alignment horizontal="right"/>
    </xf>
    <xf numFmtId="0" fontId="66" fillId="71" borderId="38" applyNumberFormat="0" applyProtection="0">
      <alignment horizontal="left"/>
    </xf>
    <xf numFmtId="49" fontId="1" fillId="0" borderId="38" applyFill="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66" fillId="71" borderId="38" applyNumberFormat="0" applyProtection="0">
      <alignment horizontal="right"/>
    </xf>
    <xf numFmtId="0" fontId="66" fillId="71" borderId="38" applyNumberFormat="0" applyProtection="0">
      <alignment horizontal="left"/>
    </xf>
    <xf numFmtId="49" fontId="1" fillId="0" borderId="38" applyFill="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66" fillId="71" borderId="38" applyNumberFormat="0" applyProtection="0">
      <alignment horizontal="right"/>
    </xf>
    <xf numFmtId="0" fontId="66" fillId="71" borderId="38" applyNumberFormat="0" applyProtection="0">
      <alignment horizontal="left"/>
    </xf>
    <xf numFmtId="49" fontId="1" fillId="0" borderId="38" applyFill="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66" fillId="71" borderId="38" applyNumberFormat="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66" fillId="71" borderId="38" applyNumberFormat="0" applyProtection="0">
      <alignment horizontal="right"/>
    </xf>
    <xf numFmtId="0" fontId="66" fillId="71" borderId="38" applyNumberFormat="0" applyProtection="0">
      <alignment horizontal="left"/>
    </xf>
    <xf numFmtId="49" fontId="1" fillId="0" borderId="38" applyFill="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66" fillId="71" borderId="38" applyNumberFormat="0" applyProtection="0">
      <alignment horizontal="right"/>
    </xf>
    <xf numFmtId="0" fontId="66" fillId="71" borderId="38" applyNumberFormat="0" applyProtection="0">
      <alignment horizontal="left"/>
    </xf>
    <xf numFmtId="49" fontId="1" fillId="0" borderId="38" applyFill="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66" fillId="71" borderId="38" applyNumberFormat="0" applyProtection="0">
      <alignment horizontal="right"/>
    </xf>
    <xf numFmtId="0" fontId="66" fillId="71" borderId="38" applyNumberFormat="0" applyProtection="0">
      <alignment horizontal="left"/>
    </xf>
    <xf numFmtId="49" fontId="1" fillId="0" borderId="38" applyFill="0" applyProtection="0">
      <alignment horizontal="right"/>
    </xf>
    <xf numFmtId="1" fontId="1" fillId="0" borderId="38" applyFill="0" applyProtection="0">
      <alignment horizontal="right" vertical="top" wrapText="1"/>
    </xf>
    <xf numFmtId="2" fontId="1" fillId="0" borderId="38" applyFill="0" applyProtection="0">
      <alignment horizontal="right" vertical="top" wrapText="1"/>
    </xf>
    <xf numFmtId="0" fontId="1" fillId="0" borderId="38" applyFill="0" applyProtection="0">
      <alignment horizontal="right" vertical="top" wrapText="1"/>
    </xf>
    <xf numFmtId="0" fontId="24" fillId="0" borderId="42" applyNumberFormat="0" applyFill="0" applyAlignment="0" applyProtection="0"/>
    <xf numFmtId="0" fontId="24" fillId="0" borderId="42" applyNumberFormat="0" applyFill="0" applyAlignment="0" applyProtection="0"/>
    <xf numFmtId="0" fontId="24" fillId="0" borderId="42" applyNumberFormat="0" applyFill="0" applyAlignment="0" applyProtection="0"/>
    <xf numFmtId="0" fontId="24" fillId="0" borderId="42" applyNumberFormat="0" applyFill="0" applyAlignment="0" applyProtection="0"/>
    <xf numFmtId="0" fontId="24" fillId="0" borderId="42" applyNumberFormat="0" applyFill="0" applyAlignment="0" applyProtection="0"/>
    <xf numFmtId="0" fontId="24" fillId="0" borderId="42" applyNumberFormat="0" applyFill="0" applyAlignment="0" applyProtection="0"/>
    <xf numFmtId="0" fontId="24" fillId="0" borderId="42" applyNumberFormat="0" applyFill="0" applyAlignment="0" applyProtection="0"/>
    <xf numFmtId="0" fontId="24" fillId="0" borderId="42" applyNumberFormat="0" applyFill="0" applyAlignment="0" applyProtection="0"/>
    <xf numFmtId="0" fontId="1" fillId="30" borderId="41" applyNumberFormat="0" applyFont="0" applyAlignment="0" applyProtection="0"/>
    <xf numFmtId="0" fontId="1" fillId="30" borderId="41" applyNumberFormat="0" applyFont="0" applyAlignment="0" applyProtection="0"/>
    <xf numFmtId="0" fontId="4" fillId="0" borderId="0"/>
    <xf numFmtId="0" fontId="38" fillId="0" borderId="0"/>
    <xf numFmtId="0" fontId="55" fillId="0" borderId="0" applyNumberFormat="0" applyFill="0" applyBorder="0" applyAlignment="0" applyProtection="0"/>
  </cellStyleXfs>
  <cellXfs count="424">
    <xf numFmtId="0" fontId="0" fillId="0" borderId="0" xfId="0"/>
    <xf numFmtId="0" fontId="0" fillId="0" borderId="0" xfId="0" applyFont="1" applyFill="1" applyAlignment="1">
      <alignment vertical="top"/>
    </xf>
    <xf numFmtId="0" fontId="29" fillId="2" borderId="0" xfId="1" applyFont="1" applyFill="1"/>
    <xf numFmtId="0" fontId="29" fillId="3" borderId="1" xfId="0" applyFont="1" applyFill="1" applyBorder="1" applyAlignment="1">
      <alignment horizontal="left" vertical="center" wrapText="1"/>
    </xf>
    <xf numFmtId="0" fontId="29" fillId="3" borderId="2" xfId="0" applyFont="1" applyFill="1" applyBorder="1" applyAlignment="1">
      <alignment horizontal="left" vertical="center" wrapText="1"/>
    </xf>
    <xf numFmtId="0" fontId="29" fillId="4" borderId="1" xfId="0" applyFont="1" applyFill="1" applyBorder="1" applyAlignment="1">
      <alignment vertical="top" wrapText="1"/>
    </xf>
    <xf numFmtId="0" fontId="29" fillId="4" borderId="2" xfId="0" applyFont="1" applyFill="1" applyBorder="1" applyAlignment="1">
      <alignment vertical="top" wrapText="1"/>
    </xf>
    <xf numFmtId="0" fontId="29" fillId="5" borderId="3" xfId="0" applyFont="1" applyFill="1" applyBorder="1" applyAlignment="1">
      <alignment horizontal="left"/>
    </xf>
    <xf numFmtId="0" fontId="29" fillId="5" borderId="3" xfId="0" applyFont="1" applyFill="1" applyBorder="1" applyAlignment="1">
      <alignment horizontal="right"/>
    </xf>
    <xf numFmtId="0" fontId="26" fillId="0" borderId="0" xfId="0" applyFont="1"/>
    <xf numFmtId="0" fontId="26" fillId="0" borderId="0" xfId="0" applyFont="1" applyAlignment="1">
      <alignment horizontal="left" vertical="center" indent="5"/>
    </xf>
    <xf numFmtId="0" fontId="0" fillId="0" borderId="0" xfId="0" applyAlignment="1">
      <alignment horizontal="left" vertical="center" indent="5"/>
    </xf>
    <xf numFmtId="0" fontId="33" fillId="0" borderId="0" xfId="0" applyFont="1" applyAlignment="1">
      <alignment vertical="center"/>
    </xf>
    <xf numFmtId="0" fontId="0" fillId="0" borderId="0" xfId="0" applyAlignment="1">
      <alignment horizontal="left" vertical="center" indent="2"/>
    </xf>
    <xf numFmtId="0" fontId="36" fillId="0" borderId="15" xfId="0" applyFont="1" applyBorder="1" applyAlignment="1">
      <alignment vertical="center" wrapText="1"/>
    </xf>
    <xf numFmtId="0" fontId="36" fillId="0" borderId="16" xfId="0" applyFont="1" applyBorder="1" applyAlignment="1">
      <alignment vertical="center" wrapText="1"/>
    </xf>
    <xf numFmtId="0" fontId="33" fillId="0" borderId="18" xfId="0" applyFont="1" applyBorder="1" applyAlignment="1">
      <alignment vertical="center" wrapText="1"/>
    </xf>
    <xf numFmtId="0" fontId="34" fillId="0" borderId="0" xfId="0" applyFont="1"/>
    <xf numFmtId="0" fontId="0" fillId="0" borderId="0" xfId="0" quotePrefix="1"/>
    <xf numFmtId="0" fontId="33" fillId="0" borderId="20" xfId="0" applyFont="1" applyBorder="1" applyAlignment="1">
      <alignment vertical="center" wrapText="1"/>
    </xf>
    <xf numFmtId="0" fontId="37" fillId="0" borderId="18" xfId="0" applyFont="1" applyBorder="1" applyAlignment="1">
      <alignment vertical="center" wrapText="1"/>
    </xf>
    <xf numFmtId="0" fontId="26" fillId="0" borderId="0" xfId="0" applyFont="1" applyAlignment="1">
      <alignment vertical="center"/>
    </xf>
    <xf numFmtId="0" fontId="37" fillId="6" borderId="18" xfId="0" applyFont="1" applyFill="1" applyBorder="1" applyAlignment="1">
      <alignment vertical="center" wrapText="1"/>
    </xf>
    <xf numFmtId="0" fontId="33" fillId="6" borderId="18" xfId="0" applyFont="1" applyFill="1" applyBorder="1" applyAlignment="1">
      <alignment vertical="center" wrapText="1"/>
    </xf>
    <xf numFmtId="0" fontId="0" fillId="0" borderId="0" xfId="0" applyFont="1" applyFill="1" applyBorder="1"/>
    <xf numFmtId="0" fontId="40" fillId="0" borderId="0" xfId="0" applyFont="1" applyAlignment="1">
      <alignment vertical="center" wrapText="1"/>
    </xf>
    <xf numFmtId="174" fontId="0" fillId="2" borderId="0" xfId="4" applyNumberFormat="1" applyFont="1" applyFill="1"/>
    <xf numFmtId="174" fontId="0" fillId="0" borderId="0" xfId="4" applyNumberFormat="1" applyFont="1"/>
    <xf numFmtId="174" fontId="30" fillId="3" borderId="4" xfId="4" applyNumberFormat="1" applyFont="1" applyFill="1" applyBorder="1"/>
    <xf numFmtId="174" fontId="29" fillId="9" borderId="0" xfId="4" quotePrefix="1" applyNumberFormat="1" applyFont="1" applyFill="1" applyBorder="1" applyAlignment="1">
      <alignment horizontal="left" vertical="top" wrapText="1"/>
    </xf>
    <xf numFmtId="174" fontId="29" fillId="0" borderId="0" xfId="4" applyNumberFormat="1" applyFont="1"/>
    <xf numFmtId="174" fontId="30" fillId="3" borderId="1" xfId="4" applyNumberFormat="1" applyFont="1" applyFill="1" applyBorder="1"/>
    <xf numFmtId="174" fontId="30" fillId="3" borderId="1" xfId="4" applyNumberFormat="1" applyFont="1" applyFill="1" applyBorder="1" applyAlignment="1">
      <alignment horizontal="left"/>
    </xf>
    <xf numFmtId="0" fontId="0" fillId="0" borderId="0" xfId="0" applyFont="1" applyAlignment="1">
      <alignment horizontal="left"/>
    </xf>
    <xf numFmtId="0" fontId="0" fillId="0" borderId="0" xfId="0" applyFont="1" applyFill="1" applyAlignment="1">
      <alignment horizontal="right"/>
    </xf>
    <xf numFmtId="0" fontId="63" fillId="0" borderId="0" xfId="3269" applyFont="1"/>
    <xf numFmtId="0" fontId="4" fillId="0" borderId="0" xfId="3269"/>
    <xf numFmtId="0" fontId="26" fillId="0" borderId="0" xfId="3269" applyFont="1"/>
    <xf numFmtId="0" fontId="26" fillId="0" borderId="14" xfId="3269" applyFont="1" applyBorder="1"/>
    <xf numFmtId="0" fontId="26" fillId="32" borderId="0" xfId="3269" applyFont="1" applyFill="1"/>
    <xf numFmtId="0" fontId="0" fillId="0" borderId="0" xfId="3269" applyFont="1"/>
    <xf numFmtId="0" fontId="64" fillId="70" borderId="0" xfId="3269" applyFont="1" applyFill="1"/>
    <xf numFmtId="0" fontId="37" fillId="0" borderId="18" xfId="0" applyFont="1" applyFill="1" applyBorder="1" applyAlignment="1">
      <alignment vertical="center" wrapText="1"/>
    </xf>
    <xf numFmtId="0" fontId="33" fillId="0" borderId="18" xfId="0" applyFont="1" applyFill="1" applyBorder="1" applyAlignment="1">
      <alignment vertical="center" wrapText="1"/>
    </xf>
    <xf numFmtId="178" fontId="0" fillId="0" borderId="0" xfId="0" applyNumberFormat="1"/>
    <xf numFmtId="9" fontId="0" fillId="0" borderId="0" xfId="0" applyNumberFormat="1" applyFont="1" applyFill="1"/>
    <xf numFmtId="2" fontId="0" fillId="0" borderId="0" xfId="0" applyNumberFormat="1" applyFont="1" applyFill="1"/>
    <xf numFmtId="174" fontId="0" fillId="0" borderId="14" xfId="4" applyNumberFormat="1" applyFont="1" applyFill="1" applyBorder="1"/>
    <xf numFmtId="0" fontId="0" fillId="0" borderId="14" xfId="0" applyBorder="1"/>
    <xf numFmtId="174" fontId="0" fillId="0" borderId="14" xfId="0" applyNumberFormat="1" applyFont="1" applyBorder="1"/>
    <xf numFmtId="9" fontId="0" fillId="0" borderId="0" xfId="436" applyFont="1"/>
    <xf numFmtId="0" fontId="0" fillId="0" borderId="0" xfId="0" applyFill="1" applyBorder="1"/>
    <xf numFmtId="14" fontId="0" fillId="0" borderId="0" xfId="0" applyNumberFormat="1" applyFont="1" applyAlignment="1">
      <alignment horizontal="left"/>
    </xf>
    <xf numFmtId="0" fontId="33" fillId="0" borderId="0" xfId="0" applyFont="1" applyBorder="1" applyAlignment="1">
      <alignment vertical="center" wrapText="1"/>
    </xf>
    <xf numFmtId="0" fontId="0" fillId="0" borderId="0" xfId="0" applyBorder="1"/>
    <xf numFmtId="2" fontId="0" fillId="0" borderId="0" xfId="0" applyNumberFormat="1" applyFont="1"/>
    <xf numFmtId="2" fontId="29" fillId="3" borderId="1" xfId="0" applyNumberFormat="1" applyFont="1" applyFill="1" applyBorder="1" applyAlignment="1">
      <alignment horizontal="left" vertical="center" wrapText="1"/>
    </xf>
    <xf numFmtId="2" fontId="29" fillId="4" borderId="1" xfId="0" applyNumberFormat="1" applyFont="1" applyFill="1" applyBorder="1" applyAlignment="1">
      <alignment vertical="top" wrapText="1"/>
    </xf>
    <xf numFmtId="2" fontId="0" fillId="0" borderId="0" xfId="436" applyNumberFormat="1" applyFont="1"/>
    <xf numFmtId="1" fontId="0" fillId="0" borderId="0" xfId="0" applyNumberFormat="1"/>
    <xf numFmtId="174" fontId="0" fillId="0" borderId="1" xfId="0" applyNumberFormat="1" applyFont="1" applyBorder="1"/>
    <xf numFmtId="174" fontId="0" fillId="0" borderId="1" xfId="4" applyNumberFormat="1" applyFont="1" applyFill="1" applyBorder="1"/>
    <xf numFmtId="1" fontId="70" fillId="0" borderId="0" xfId="2" applyNumberFormat="1" applyFont="1" applyFill="1"/>
    <xf numFmtId="1" fontId="29" fillId="0" borderId="0" xfId="2" applyNumberFormat="1" applyFont="1" applyFill="1"/>
    <xf numFmtId="0" fontId="29" fillId="5" borderId="29" xfId="0" applyFont="1" applyFill="1" applyBorder="1" applyAlignment="1">
      <alignment horizontal="right"/>
    </xf>
    <xf numFmtId="0" fontId="0" fillId="0" borderId="0" xfId="0" applyNumberFormat="1" applyFont="1" applyBorder="1"/>
    <xf numFmtId="0" fontId="0" fillId="0" borderId="0" xfId="0" applyFont="1" applyFill="1"/>
    <xf numFmtId="2" fontId="70" fillId="0" borderId="0" xfId="2" applyNumberFormat="1" applyFont="1" applyFill="1"/>
    <xf numFmtId="2" fontId="29" fillId="0" borderId="0" xfId="2" applyNumberFormat="1" applyFont="1" applyFill="1"/>
    <xf numFmtId="169" fontId="70" fillId="0" borderId="0" xfId="2" applyNumberFormat="1" applyFont="1" applyFill="1"/>
    <xf numFmtId="174" fontId="0" fillId="0" borderId="14" xfId="0" applyNumberFormat="1" applyFont="1" applyFill="1" applyBorder="1"/>
    <xf numFmtId="0" fontId="0" fillId="0" borderId="14" xfId="0" applyNumberFormat="1" applyFont="1" applyBorder="1"/>
    <xf numFmtId="174" fontId="0" fillId="0" borderId="0" xfId="0" applyNumberFormat="1" applyFont="1" applyFill="1"/>
    <xf numFmtId="174" fontId="0" fillId="0" borderId="0" xfId="0" applyNumberFormat="1" applyFont="1" applyFill="1" applyBorder="1"/>
    <xf numFmtId="0" fontId="0" fillId="0" borderId="0" xfId="0" applyFont="1"/>
    <xf numFmtId="0" fontId="29" fillId="0" borderId="0" xfId="2" applyFont="1" applyFill="1"/>
    <xf numFmtId="0" fontId="29" fillId="0" borderId="0" xfId="2" applyFont="1" applyFill="1" applyBorder="1"/>
    <xf numFmtId="174" fontId="0" fillId="0" borderId="0" xfId="0" applyNumberFormat="1" applyFont="1"/>
    <xf numFmtId="174" fontId="0" fillId="0" borderId="0" xfId="4" applyNumberFormat="1" applyFont="1" applyFill="1"/>
    <xf numFmtId="174" fontId="0" fillId="0" borderId="0" xfId="4" applyNumberFormat="1" applyFont="1" applyFill="1" applyBorder="1"/>
    <xf numFmtId="173" fontId="0" fillId="0" borderId="0" xfId="0" applyNumberFormat="1" applyFont="1" applyFill="1"/>
    <xf numFmtId="173" fontId="0" fillId="0" borderId="0" xfId="0" applyNumberFormat="1" applyBorder="1"/>
    <xf numFmtId="2" fontId="0" fillId="0" borderId="0" xfId="0" applyNumberFormat="1"/>
    <xf numFmtId="0" fontId="73" fillId="4" borderId="1" xfId="0" applyFont="1" applyFill="1" applyBorder="1" applyAlignment="1">
      <alignment vertical="top" wrapText="1"/>
    </xf>
    <xf numFmtId="0" fontId="73" fillId="4" borderId="2" xfId="0" applyFont="1" applyFill="1" applyBorder="1" applyAlignment="1">
      <alignment vertical="top" wrapText="1"/>
    </xf>
    <xf numFmtId="0" fontId="29" fillId="3" borderId="1" xfId="0" applyFont="1" applyFill="1" applyBorder="1" applyAlignment="1">
      <alignment horizontal="left" vertical="center"/>
    </xf>
    <xf numFmtId="0" fontId="29" fillId="3" borderId="2" xfId="0" applyFont="1" applyFill="1" applyBorder="1" applyAlignment="1">
      <alignment horizontal="left" vertical="center"/>
    </xf>
    <xf numFmtId="173" fontId="29" fillId="0" borderId="0" xfId="2" applyNumberFormat="1" applyFont="1" applyFill="1"/>
    <xf numFmtId="0" fontId="0" fillId="0" borderId="1" xfId="0" applyNumberFormat="1" applyFont="1" applyBorder="1"/>
    <xf numFmtId="0" fontId="0" fillId="0" borderId="1" xfId="0" applyBorder="1"/>
    <xf numFmtId="174" fontId="0" fillId="0" borderId="0" xfId="0" applyNumberFormat="1" applyFont="1" applyBorder="1"/>
    <xf numFmtId="0" fontId="0" fillId="0" borderId="0" xfId="0"/>
    <xf numFmtId="0" fontId="74" fillId="74" borderId="45" xfId="0" applyFont="1" applyFill="1" applyBorder="1" applyAlignment="1">
      <alignment vertical="center" wrapText="1"/>
    </xf>
    <xf numFmtId="0" fontId="74" fillId="74" borderId="46" xfId="0" applyFont="1" applyFill="1" applyBorder="1" applyAlignment="1">
      <alignment horizontal="center" vertical="center" wrapText="1"/>
    </xf>
    <xf numFmtId="0" fontId="0" fillId="75" borderId="0" xfId="0" applyFill="1"/>
    <xf numFmtId="0" fontId="74" fillId="74" borderId="50" xfId="0" applyFont="1" applyFill="1" applyBorder="1" applyAlignment="1">
      <alignment vertical="center" wrapText="1"/>
    </xf>
    <xf numFmtId="0" fontId="76" fillId="76" borderId="51" xfId="0" applyFont="1" applyFill="1" applyBorder="1" applyAlignment="1">
      <alignment horizontal="center" vertical="center" wrapText="1"/>
    </xf>
    <xf numFmtId="0" fontId="77" fillId="76" borderId="51" xfId="0" applyFont="1" applyFill="1" applyBorder="1" applyAlignment="1">
      <alignment horizontal="center" vertical="center" wrapText="1"/>
    </xf>
    <xf numFmtId="0" fontId="76" fillId="77" borderId="52" xfId="0" applyFont="1" applyFill="1" applyBorder="1" applyAlignment="1">
      <alignment horizontal="center" vertical="center" wrapText="1"/>
    </xf>
    <xf numFmtId="0" fontId="77" fillId="77" borderId="52" xfId="0" applyFont="1" applyFill="1" applyBorder="1" applyAlignment="1">
      <alignment horizontal="center" vertical="center" wrapText="1"/>
    </xf>
    <xf numFmtId="0" fontId="76" fillId="76" borderId="52" xfId="0" applyFont="1" applyFill="1" applyBorder="1" applyAlignment="1">
      <alignment horizontal="center" vertical="center" wrapText="1"/>
    </xf>
    <xf numFmtId="0" fontId="77" fillId="76" borderId="52" xfId="0" applyFont="1" applyFill="1" applyBorder="1" applyAlignment="1">
      <alignment horizontal="center" vertical="center" wrapText="1"/>
    </xf>
    <xf numFmtId="0" fontId="0" fillId="4" borderId="0" xfId="0" applyFill="1"/>
    <xf numFmtId="0" fontId="0" fillId="78" borderId="0" xfId="0" applyFont="1" applyFill="1"/>
    <xf numFmtId="0" fontId="0" fillId="78" borderId="0" xfId="0" applyFill="1"/>
    <xf numFmtId="0" fontId="74" fillId="74" borderId="56" xfId="0" applyFont="1" applyFill="1" applyBorder="1" applyAlignment="1">
      <alignment vertical="center" wrapText="1"/>
    </xf>
    <xf numFmtId="0" fontId="76" fillId="77" borderId="51" xfId="0" applyFont="1" applyFill="1" applyBorder="1" applyAlignment="1">
      <alignment horizontal="center" vertical="center" wrapText="1"/>
    </xf>
    <xf numFmtId="0" fontId="80" fillId="0" borderId="0" xfId="0" applyFont="1"/>
    <xf numFmtId="0" fontId="77" fillId="79" borderId="51" xfId="0" applyFont="1" applyFill="1" applyBorder="1" applyAlignment="1">
      <alignment horizontal="center" vertical="center" wrapText="1"/>
    </xf>
    <xf numFmtId="0" fontId="76" fillId="79" borderId="51" xfId="0" applyFont="1" applyFill="1" applyBorder="1" applyAlignment="1">
      <alignment horizontal="center" vertical="center" wrapText="1"/>
    </xf>
    <xf numFmtId="0" fontId="74" fillId="80" borderId="56" xfId="0" applyFont="1" applyFill="1" applyBorder="1" applyAlignment="1">
      <alignment vertical="center" wrapText="1"/>
    </xf>
    <xf numFmtId="0" fontId="77" fillId="79" borderId="52" xfId="0" applyFont="1" applyFill="1" applyBorder="1" applyAlignment="1">
      <alignment horizontal="center" vertical="center" wrapText="1"/>
    </xf>
    <xf numFmtId="0" fontId="76" fillId="79" borderId="52" xfId="0" applyFont="1" applyFill="1" applyBorder="1" applyAlignment="1">
      <alignment horizontal="center" vertical="center" wrapText="1"/>
    </xf>
    <xf numFmtId="0" fontId="74" fillId="80" borderId="50" xfId="0" applyFont="1" applyFill="1" applyBorder="1" applyAlignment="1">
      <alignment vertical="center" wrapText="1"/>
    </xf>
    <xf numFmtId="0" fontId="77" fillId="81" borderId="52" xfId="0" applyFont="1" applyFill="1" applyBorder="1" applyAlignment="1">
      <alignment horizontal="center" vertical="center" wrapText="1"/>
    </xf>
    <xf numFmtId="0" fontId="76" fillId="81" borderId="52" xfId="0" applyFont="1" applyFill="1" applyBorder="1" applyAlignment="1">
      <alignment horizontal="center" vertical="center" wrapText="1"/>
    </xf>
    <xf numFmtId="0" fontId="76" fillId="81" borderId="51" xfId="0" applyFont="1" applyFill="1" applyBorder="1" applyAlignment="1">
      <alignment horizontal="center" vertical="center" wrapText="1"/>
    </xf>
    <xf numFmtId="0" fontId="74" fillId="80" borderId="46" xfId="0" applyFont="1" applyFill="1" applyBorder="1" applyAlignment="1">
      <alignment horizontal="center" vertical="center" wrapText="1"/>
    </xf>
    <xf numFmtId="0" fontId="74" fillId="80" borderId="45" xfId="0" applyFont="1" applyFill="1" applyBorder="1" applyAlignment="1">
      <alignment vertical="center" wrapText="1"/>
    </xf>
    <xf numFmtId="9" fontId="0" fillId="0" borderId="0" xfId="0" applyNumberFormat="1"/>
    <xf numFmtId="0" fontId="81" fillId="80" borderId="50" xfId="0" applyFont="1" applyFill="1" applyBorder="1" applyAlignment="1">
      <alignment vertical="center" wrapText="1"/>
    </xf>
    <xf numFmtId="0" fontId="82" fillId="0" borderId="0" xfId="0" applyFont="1"/>
    <xf numFmtId="0" fontId="29" fillId="82" borderId="1" xfId="0" applyFont="1" applyFill="1" applyBorder="1" applyAlignment="1">
      <alignment horizontal="left" vertical="center" wrapText="1"/>
    </xf>
    <xf numFmtId="0" fontId="83" fillId="0" borderId="0" xfId="2" applyFont="1" applyFill="1"/>
    <xf numFmtId="0" fontId="83" fillId="0" borderId="0" xfId="2" applyFont="1" applyFill="1" applyBorder="1"/>
    <xf numFmtId="0" fontId="83" fillId="0" borderId="0" xfId="0" applyFont="1"/>
    <xf numFmtId="0" fontId="29" fillId="3" borderId="0" xfId="0" applyFont="1" applyFill="1" applyBorder="1" applyAlignment="1">
      <alignment horizontal="left" vertical="center" wrapText="1"/>
    </xf>
    <xf numFmtId="0" fontId="0" fillId="0" borderId="0" xfId="0" applyFont="1" applyFill="1" applyAlignment="1">
      <alignment horizontal="left"/>
    </xf>
    <xf numFmtId="0" fontId="0" fillId="0" borderId="57" xfId="0" applyBorder="1"/>
    <xf numFmtId="0" fontId="0" fillId="0" borderId="58" xfId="0" applyBorder="1"/>
    <xf numFmtId="0" fontId="0" fillId="0" borderId="59" xfId="0" applyBorder="1"/>
    <xf numFmtId="0" fontId="0" fillId="0" borderId="60" xfId="0" applyBorder="1"/>
    <xf numFmtId="2" fontId="0" fillId="0" borderId="59" xfId="0" applyNumberFormat="1" applyBorder="1"/>
    <xf numFmtId="0" fontId="0" fillId="0" borderId="59" xfId="0" applyFont="1" applyFill="1" applyBorder="1"/>
    <xf numFmtId="0" fontId="0" fillId="0" borderId="60" xfId="0" applyFont="1" applyFill="1" applyBorder="1"/>
    <xf numFmtId="0" fontId="0" fillId="0" borderId="61" xfId="0" applyBorder="1"/>
    <xf numFmtId="0" fontId="0" fillId="0" borderId="62" xfId="0" applyBorder="1"/>
    <xf numFmtId="0" fontId="0" fillId="0" borderId="58" xfId="0" applyFont="1" applyFill="1" applyBorder="1"/>
    <xf numFmtId="0" fontId="0" fillId="0" borderId="61" xfId="0" applyFont="1" applyFill="1" applyBorder="1"/>
    <xf numFmtId="0" fontId="0" fillId="0" borderId="57" xfId="0" applyFont="1" applyFill="1" applyBorder="1"/>
    <xf numFmtId="180" fontId="0" fillId="0" borderId="57" xfId="0" applyNumberFormat="1" applyBorder="1"/>
    <xf numFmtId="0" fontId="0" fillId="0" borderId="60" xfId="0" applyFill="1" applyBorder="1"/>
    <xf numFmtId="174" fontId="29" fillId="9" borderId="63" xfId="4" quotePrefix="1" applyNumberFormat="1" applyFont="1" applyFill="1" applyBorder="1" applyAlignment="1">
      <alignment horizontal="left" vertical="top" wrapText="1"/>
    </xf>
    <xf numFmtId="0" fontId="4" fillId="0" borderId="0" xfId="444" applyFont="1"/>
    <xf numFmtId="0" fontId="38" fillId="0" borderId="0" xfId="7721"/>
    <xf numFmtId="174" fontId="0" fillId="0" borderId="1" xfId="0" applyNumberFormat="1" applyFont="1" applyFill="1" applyBorder="1"/>
    <xf numFmtId="0" fontId="4" fillId="0" borderId="0" xfId="3269" applyFont="1"/>
    <xf numFmtId="0" fontId="84" fillId="83" borderId="0" xfId="3269" applyFont="1" applyFill="1"/>
    <xf numFmtId="0" fontId="4" fillId="4" borderId="0" xfId="3269" applyFont="1" applyFill="1"/>
    <xf numFmtId="0" fontId="85" fillId="4" borderId="0" xfId="3269" applyFont="1" applyFill="1"/>
    <xf numFmtId="0" fontId="4" fillId="2" borderId="0" xfId="3269" applyFill="1"/>
    <xf numFmtId="0" fontId="2" fillId="3" borderId="4" xfId="3269" applyFont="1" applyFill="1" applyBorder="1" applyAlignment="1">
      <alignment horizontal="left" vertical="center" wrapText="1"/>
    </xf>
    <xf numFmtId="1" fontId="2" fillId="84" borderId="64" xfId="3269" applyNumberFormat="1" applyFont="1" applyFill="1" applyBorder="1" applyAlignment="1">
      <alignment horizontal="right"/>
    </xf>
    <xf numFmtId="0" fontId="2" fillId="9" borderId="44" xfId="3269" applyFont="1" applyFill="1" applyBorder="1" applyAlignment="1">
      <alignment horizontal="left" wrapText="1"/>
    </xf>
    <xf numFmtId="0" fontId="2" fillId="9" borderId="44" xfId="3269" applyFont="1" applyFill="1" applyBorder="1" applyAlignment="1">
      <alignment horizontal="right" wrapText="1"/>
    </xf>
    <xf numFmtId="0" fontId="2" fillId="85" borderId="0" xfId="3269" applyFont="1" applyFill="1"/>
    <xf numFmtId="181" fontId="2" fillId="85" borderId="0" xfId="3269" applyNumberFormat="1" applyFont="1" applyFill="1"/>
    <xf numFmtId="0" fontId="29" fillId="4" borderId="0" xfId="0" applyFont="1" applyFill="1" applyBorder="1" applyAlignment="1">
      <alignment vertical="top" wrapText="1"/>
    </xf>
    <xf numFmtId="0" fontId="0" fillId="0" borderId="0" xfId="0" applyFont="1" applyFill="1" applyAlignment="1">
      <alignment horizontal="center" wrapText="1"/>
    </xf>
    <xf numFmtId="0" fontId="29" fillId="5" borderId="65" xfId="0" applyFont="1" applyFill="1" applyBorder="1" applyAlignment="1">
      <alignment horizontal="right"/>
    </xf>
    <xf numFmtId="0" fontId="29" fillId="5" borderId="66" xfId="0" applyFont="1" applyFill="1" applyBorder="1" applyAlignment="1">
      <alignment horizontal="right"/>
    </xf>
    <xf numFmtId="2" fontId="29" fillId="5" borderId="65" xfId="0" applyNumberFormat="1" applyFont="1" applyFill="1" applyBorder="1" applyAlignment="1">
      <alignment horizontal="right"/>
    </xf>
    <xf numFmtId="0" fontId="29" fillId="5" borderId="0" xfId="0" applyFont="1" applyFill="1" applyBorder="1" applyAlignment="1">
      <alignment horizontal="right"/>
    </xf>
    <xf numFmtId="0" fontId="29" fillId="3" borderId="58" xfId="0" applyFont="1" applyFill="1" applyBorder="1" applyAlignment="1">
      <alignment horizontal="left" vertical="center" wrapText="1"/>
    </xf>
    <xf numFmtId="0" fontId="29" fillId="4" borderId="58" xfId="0" applyFont="1" applyFill="1" applyBorder="1" applyAlignment="1">
      <alignment vertical="top" wrapText="1"/>
    </xf>
    <xf numFmtId="0" fontId="29" fillId="5" borderId="65" xfId="0" applyFont="1" applyFill="1" applyBorder="1" applyAlignment="1">
      <alignment horizontal="left"/>
    </xf>
    <xf numFmtId="0" fontId="0" fillId="0" borderId="0" xfId="436" applyNumberFormat="1" applyFont="1" applyFill="1" applyAlignment="1">
      <alignment horizontal="right"/>
    </xf>
    <xf numFmtId="0" fontId="26" fillId="0" borderId="0" xfId="0" applyFont="1" applyAlignment="1"/>
    <xf numFmtId="0" fontId="38" fillId="0" borderId="0" xfId="7721" applyFont="1"/>
    <xf numFmtId="0" fontId="0" fillId="0" borderId="0" xfId="7721" applyFont="1"/>
    <xf numFmtId="0" fontId="83" fillId="0" borderId="0" xfId="7721" applyFont="1"/>
    <xf numFmtId="0" fontId="33" fillId="0" borderId="17" xfId="0" applyFont="1" applyBorder="1" applyAlignment="1">
      <alignment vertical="center" wrapText="1"/>
    </xf>
    <xf numFmtId="0" fontId="77" fillId="81" borderId="51" xfId="0" applyFont="1" applyFill="1" applyBorder="1" applyAlignment="1">
      <alignment horizontal="center" vertical="center" wrapText="1"/>
    </xf>
    <xf numFmtId="0" fontId="77" fillId="77" borderId="51" xfId="0" applyFont="1" applyFill="1" applyBorder="1" applyAlignment="1">
      <alignment horizontal="center" vertical="center" wrapText="1"/>
    </xf>
    <xf numFmtId="0" fontId="0" fillId="0" borderId="1" xfId="0" applyFont="1" applyFill="1" applyBorder="1"/>
    <xf numFmtId="0" fontId="29" fillId="0" borderId="0" xfId="0" applyFont="1" applyFill="1" applyBorder="1" applyAlignment="1">
      <alignment horizontal="right"/>
    </xf>
    <xf numFmtId="2" fontId="29" fillId="0" borderId="0" xfId="0" applyNumberFormat="1" applyFont="1" applyFill="1" applyBorder="1" applyAlignment="1">
      <alignment horizontal="right"/>
    </xf>
    <xf numFmtId="0" fontId="29" fillId="0" borderId="0" xfId="0" applyFont="1" applyFill="1" applyBorder="1" applyAlignment="1">
      <alignment horizontal="left"/>
    </xf>
    <xf numFmtId="0" fontId="29" fillId="5" borderId="65" xfId="0" applyFont="1" applyFill="1" applyBorder="1" applyAlignment="1">
      <alignment horizontal="left" wrapText="1"/>
    </xf>
    <xf numFmtId="1" fontId="2" fillId="84" borderId="4" xfId="3269" applyNumberFormat="1" applyFont="1" applyFill="1" applyBorder="1" applyAlignment="1">
      <alignment horizontal="right"/>
    </xf>
    <xf numFmtId="1" fontId="38" fillId="0" borderId="0" xfId="7721" applyNumberFormat="1"/>
    <xf numFmtId="0" fontId="38" fillId="41" borderId="0" xfId="7721" applyFill="1"/>
    <xf numFmtId="0" fontId="38" fillId="82" borderId="0" xfId="7721" applyFill="1"/>
    <xf numFmtId="0" fontId="38" fillId="78" borderId="0" xfId="7721" applyFill="1"/>
    <xf numFmtId="0" fontId="38" fillId="6" borderId="0" xfId="7721" applyFill="1"/>
    <xf numFmtId="169" fontId="38" fillId="0" borderId="0" xfId="7721" applyNumberFormat="1"/>
    <xf numFmtId="0" fontId="38" fillId="86" borderId="0" xfId="7721" applyFill="1"/>
    <xf numFmtId="0" fontId="26" fillId="0" borderId="0" xfId="7721" applyFont="1"/>
    <xf numFmtId="0" fontId="38" fillId="0" borderId="44" xfId="7721" applyBorder="1"/>
    <xf numFmtId="0" fontId="38" fillId="0" borderId="0" xfId="7721" applyFill="1"/>
    <xf numFmtId="0" fontId="29" fillId="0" borderId="0" xfId="7721" applyFont="1"/>
    <xf numFmtId="16" fontId="0" fillId="0" borderId="0" xfId="0" applyNumberFormat="1" applyFont="1" applyFill="1" applyAlignment="1">
      <alignment vertical="top"/>
    </xf>
    <xf numFmtId="17" fontId="0" fillId="0" borderId="0" xfId="0" applyNumberFormat="1" applyFont="1" applyFill="1" applyAlignment="1">
      <alignment vertical="top"/>
    </xf>
    <xf numFmtId="8" fontId="29" fillId="0" borderId="0" xfId="0" applyNumberFormat="1" applyFont="1" applyFill="1" applyBorder="1" applyAlignment="1">
      <alignment horizontal="right"/>
    </xf>
    <xf numFmtId="173" fontId="0" fillId="0" borderId="0" xfId="0" applyNumberFormat="1"/>
    <xf numFmtId="0" fontId="38" fillId="0" borderId="67" xfId="0" applyFont="1" applyBorder="1"/>
    <xf numFmtId="0" fontId="83" fillId="0" borderId="14" xfId="0" applyFont="1" applyBorder="1"/>
    <xf numFmtId="169" fontId="29" fillId="0" borderId="0" xfId="0" applyNumberFormat="1" applyFont="1" applyFill="1" applyBorder="1" applyAlignment="1">
      <alignment horizontal="right"/>
    </xf>
    <xf numFmtId="0" fontId="86" fillId="87" borderId="57" xfId="0" applyFont="1" applyFill="1" applyBorder="1" applyAlignment="1">
      <alignment vertical="center" wrapText="1"/>
    </xf>
    <xf numFmtId="0" fontId="29" fillId="0" borderId="0" xfId="0" applyFont="1"/>
    <xf numFmtId="0" fontId="73" fillId="87" borderId="64" xfId="0" applyFont="1" applyFill="1" applyBorder="1" applyAlignment="1">
      <alignment vertical="center" wrapText="1"/>
    </xf>
    <xf numFmtId="0" fontId="88" fillId="87" borderId="64" xfId="0" applyFont="1" applyFill="1" applyBorder="1" applyAlignment="1">
      <alignment horizontal="center" vertical="center" wrapText="1"/>
    </xf>
    <xf numFmtId="0" fontId="88" fillId="87" borderId="70" xfId="0" applyFont="1" applyFill="1" applyBorder="1" applyAlignment="1">
      <alignment horizontal="center" vertical="center" wrapText="1"/>
    </xf>
    <xf numFmtId="0" fontId="88" fillId="87" borderId="0" xfId="0" applyFont="1" applyFill="1" applyAlignment="1">
      <alignment horizontal="center" vertical="center" wrapText="1"/>
    </xf>
    <xf numFmtId="0" fontId="88" fillId="87" borderId="60" xfId="0" applyFont="1" applyFill="1" applyBorder="1" applyAlignment="1">
      <alignment horizontal="center" vertical="center" wrapText="1"/>
    </xf>
    <xf numFmtId="0" fontId="88" fillId="87" borderId="64" xfId="0" applyFont="1" applyFill="1" applyBorder="1" applyAlignment="1">
      <alignment vertical="center" wrapText="1"/>
    </xf>
    <xf numFmtId="0" fontId="88" fillId="87" borderId="14" xfId="0" applyFont="1" applyFill="1" applyBorder="1" applyAlignment="1">
      <alignment vertical="center" wrapText="1"/>
    </xf>
    <xf numFmtId="0" fontId="88" fillId="87" borderId="68" xfId="0" applyFont="1" applyFill="1" applyBorder="1" applyAlignment="1">
      <alignment vertical="center" wrapText="1"/>
    </xf>
    <xf numFmtId="0" fontId="88" fillId="87" borderId="68" xfId="0" applyFont="1" applyFill="1" applyBorder="1" applyAlignment="1">
      <alignment horizontal="center" vertical="center" wrapText="1"/>
    </xf>
    <xf numFmtId="0" fontId="88" fillId="87" borderId="69" xfId="0" applyFont="1" applyFill="1" applyBorder="1" applyAlignment="1">
      <alignment vertical="center" wrapText="1"/>
    </xf>
    <xf numFmtId="0" fontId="89" fillId="87" borderId="64" xfId="0" applyFont="1" applyFill="1" applyBorder="1" applyAlignment="1">
      <alignment vertical="center" wrapText="1"/>
    </xf>
    <xf numFmtId="0" fontId="73" fillId="87" borderId="70" xfId="0" applyFont="1" applyFill="1" applyBorder="1" applyAlignment="1">
      <alignment vertical="center" wrapText="1"/>
    </xf>
    <xf numFmtId="0" fontId="73" fillId="87" borderId="70" xfId="0" applyFont="1" applyFill="1" applyBorder="1" applyAlignment="1">
      <alignment horizontal="center" vertical="center" wrapText="1"/>
    </xf>
    <xf numFmtId="49" fontId="91" fillId="87" borderId="71" xfId="0" applyNumberFormat="1" applyFont="1" applyFill="1" applyBorder="1" applyAlignment="1">
      <alignment vertical="center" wrapText="1"/>
    </xf>
    <xf numFmtId="0" fontId="89" fillId="87" borderId="71" xfId="0" applyFont="1" applyFill="1" applyBorder="1" applyAlignment="1">
      <alignment vertical="center" wrapText="1"/>
    </xf>
    <xf numFmtId="0" fontId="73" fillId="87" borderId="72" xfId="0" applyFont="1" applyFill="1" applyBorder="1" applyAlignment="1">
      <alignment vertical="center" wrapText="1"/>
    </xf>
    <xf numFmtId="0" fontId="73" fillId="87" borderId="72" xfId="0" applyFont="1" applyFill="1" applyBorder="1" applyAlignment="1">
      <alignment horizontal="center" vertical="center" wrapText="1"/>
    </xf>
    <xf numFmtId="0" fontId="73" fillId="87" borderId="71" xfId="0" applyFont="1" applyFill="1" applyBorder="1" applyAlignment="1">
      <alignment vertical="center" wrapText="1"/>
    </xf>
    <xf numFmtId="0" fontId="73" fillId="87" borderId="71" xfId="0" applyFont="1" applyFill="1" applyBorder="1" applyAlignment="1">
      <alignment horizontal="center" vertical="center" wrapText="1"/>
    </xf>
    <xf numFmtId="0" fontId="73" fillId="87" borderId="72" xfId="0" applyFont="1" applyFill="1" applyBorder="1" applyAlignment="1">
      <alignment horizontal="left" vertical="center" wrapText="1"/>
    </xf>
    <xf numFmtId="0" fontId="93" fillId="87" borderId="70" xfId="0" applyFont="1" applyFill="1" applyBorder="1" applyAlignment="1">
      <alignment horizontal="center" vertical="center" wrapText="1"/>
    </xf>
    <xf numFmtId="0" fontId="73" fillId="87" borderId="70" xfId="0" applyFont="1" applyFill="1" applyBorder="1" applyAlignment="1">
      <alignment horizontal="left" vertical="center" wrapText="1"/>
    </xf>
    <xf numFmtId="0" fontId="73" fillId="87" borderId="73" xfId="0" applyFont="1" applyFill="1" applyBorder="1" applyAlignment="1">
      <alignment vertical="center" wrapText="1"/>
    </xf>
    <xf numFmtId="0" fontId="89" fillId="87" borderId="70" xfId="0" applyFont="1" applyFill="1" applyBorder="1" applyAlignment="1">
      <alignment vertical="center" wrapText="1"/>
    </xf>
    <xf numFmtId="0" fontId="73" fillId="0" borderId="70" xfId="0" applyFont="1" applyBorder="1" applyAlignment="1">
      <alignment horizontal="center" vertical="center" wrapText="1"/>
    </xf>
    <xf numFmtId="0" fontId="73" fillId="87" borderId="72" xfId="0" quotePrefix="1" applyFont="1" applyFill="1" applyBorder="1" applyAlignment="1">
      <alignment vertical="center" wrapText="1"/>
    </xf>
    <xf numFmtId="0" fontId="29" fillId="0" borderId="70" xfId="0" applyFont="1" applyBorder="1"/>
    <xf numFmtId="0" fontId="89" fillId="87" borderId="68" xfId="0" applyFont="1" applyFill="1" applyBorder="1" applyAlignment="1">
      <alignment vertical="center" wrapText="1"/>
    </xf>
    <xf numFmtId="0" fontId="89" fillId="87" borderId="69" xfId="0" applyFont="1" applyFill="1" applyBorder="1" applyAlignment="1">
      <alignment vertical="center" wrapText="1"/>
    </xf>
    <xf numFmtId="2" fontId="73" fillId="87" borderId="70" xfId="0" applyNumberFormat="1" applyFont="1" applyFill="1" applyBorder="1" applyAlignment="1">
      <alignment horizontal="center" vertical="center" wrapText="1"/>
    </xf>
    <xf numFmtId="0" fontId="73" fillId="0" borderId="0" xfId="0" applyFont="1" applyAlignment="1">
      <alignment vertical="center"/>
    </xf>
    <xf numFmtId="0" fontId="94" fillId="38" borderId="0" xfId="0" applyFont="1" applyFill="1"/>
    <xf numFmtId="0" fontId="73" fillId="0" borderId="0" xfId="0" applyFont="1" applyAlignment="1">
      <alignment horizontal="center" vertical="center" wrapText="1"/>
    </xf>
    <xf numFmtId="0" fontId="73" fillId="87" borderId="0" xfId="0" applyFont="1" applyFill="1" applyAlignment="1">
      <alignment horizontal="center" vertical="center" wrapText="1"/>
    </xf>
    <xf numFmtId="0" fontId="73" fillId="0" borderId="0" xfId="0" applyFont="1" applyAlignment="1">
      <alignment vertical="center" wrapText="1"/>
    </xf>
    <xf numFmtId="0" fontId="94" fillId="38" borderId="0" xfId="0" applyFont="1" applyFill="1" applyAlignment="1">
      <alignment vertical="center"/>
    </xf>
    <xf numFmtId="0" fontId="29" fillId="0" borderId="0" xfId="0" applyFont="1" applyAlignment="1">
      <alignment horizontal="right"/>
    </xf>
    <xf numFmtId="0" fontId="73" fillId="87" borderId="73" xfId="0" applyFont="1" applyFill="1" applyBorder="1" applyAlignment="1">
      <alignment horizontal="center" vertical="center" wrapText="1"/>
    </xf>
    <xf numFmtId="169" fontId="73" fillId="87" borderId="73" xfId="0" applyNumberFormat="1" applyFont="1" applyFill="1" applyBorder="1" applyAlignment="1">
      <alignment horizontal="center" vertical="center" wrapText="1"/>
    </xf>
    <xf numFmtId="182" fontId="29" fillId="0" borderId="0" xfId="0" applyNumberFormat="1" applyFont="1"/>
    <xf numFmtId="49" fontId="91" fillId="87" borderId="61" xfId="0" applyNumberFormat="1" applyFont="1" applyFill="1" applyBorder="1" applyAlignment="1">
      <alignment vertical="center" wrapText="1"/>
    </xf>
    <xf numFmtId="0" fontId="89" fillId="87" borderId="14" xfId="0" applyFont="1" applyFill="1" applyBorder="1" applyAlignment="1">
      <alignment vertical="center" wrapText="1"/>
    </xf>
    <xf numFmtId="0" fontId="89" fillId="87" borderId="62" xfId="0" applyFont="1" applyFill="1" applyBorder="1" applyAlignment="1">
      <alignment vertical="center" wrapText="1"/>
    </xf>
    <xf numFmtId="0" fontId="73" fillId="87" borderId="62" xfId="0" applyFont="1" applyFill="1" applyBorder="1" applyAlignment="1">
      <alignment horizontal="center" vertical="center" wrapText="1"/>
    </xf>
    <xf numFmtId="9" fontId="73" fillId="87" borderId="60" xfId="0" applyNumberFormat="1" applyFont="1" applyFill="1" applyBorder="1" applyAlignment="1">
      <alignment horizontal="center" vertical="center" wrapText="1"/>
    </xf>
    <xf numFmtId="9" fontId="73" fillId="87" borderId="73" xfId="0" applyNumberFormat="1" applyFont="1" applyFill="1" applyBorder="1" applyAlignment="1">
      <alignment horizontal="center" vertical="center" wrapText="1"/>
    </xf>
    <xf numFmtId="9" fontId="73" fillId="87" borderId="70" xfId="0" applyNumberFormat="1" applyFont="1" applyFill="1" applyBorder="1" applyAlignment="1">
      <alignment horizontal="center" vertical="center" wrapText="1"/>
    </xf>
    <xf numFmtId="0" fontId="73" fillId="87" borderId="73" xfId="0" applyFont="1" applyFill="1" applyBorder="1" applyAlignment="1">
      <alignment horizontal="left" vertical="center" wrapText="1"/>
    </xf>
    <xf numFmtId="9" fontId="73" fillId="87" borderId="62" xfId="0" applyNumberFormat="1" applyFont="1" applyFill="1" applyBorder="1" applyAlignment="1">
      <alignment horizontal="center" vertical="center" wrapText="1"/>
    </xf>
    <xf numFmtId="9" fontId="73" fillId="87" borderId="71" xfId="0" applyNumberFormat="1" applyFont="1" applyFill="1" applyBorder="1" applyAlignment="1">
      <alignment horizontal="center" vertical="center" wrapText="1"/>
    </xf>
    <xf numFmtId="9" fontId="73" fillId="87" borderId="62" xfId="436" applyFont="1" applyFill="1" applyBorder="1" applyAlignment="1">
      <alignment horizontal="center" vertical="center" wrapText="1"/>
    </xf>
    <xf numFmtId="2" fontId="73" fillId="87" borderId="69" xfId="0" applyNumberFormat="1" applyFont="1" applyFill="1" applyBorder="1" applyAlignment="1">
      <alignment horizontal="center" vertical="center" wrapText="1"/>
    </xf>
    <xf numFmtId="9" fontId="73" fillId="87" borderId="69" xfId="0" applyNumberFormat="1" applyFont="1" applyFill="1" applyBorder="1" applyAlignment="1">
      <alignment horizontal="center" vertical="center" wrapText="1"/>
    </xf>
    <xf numFmtId="0" fontId="73" fillId="87" borderId="69" xfId="0" applyFont="1" applyFill="1" applyBorder="1" applyAlignment="1">
      <alignment horizontal="center" vertical="center" wrapText="1"/>
    </xf>
    <xf numFmtId="169" fontId="73" fillId="87" borderId="71" xfId="0" applyNumberFormat="1" applyFont="1" applyFill="1" applyBorder="1" applyAlignment="1">
      <alignment horizontal="center" vertical="center" wrapText="1"/>
    </xf>
    <xf numFmtId="2" fontId="73" fillId="87" borderId="71" xfId="0" applyNumberFormat="1" applyFont="1" applyFill="1" applyBorder="1" applyAlignment="1">
      <alignment horizontal="center" vertical="center" wrapText="1"/>
    </xf>
    <xf numFmtId="173" fontId="73" fillId="87" borderId="71" xfId="0" applyNumberFormat="1" applyFont="1" applyFill="1" applyBorder="1" applyAlignment="1">
      <alignment horizontal="center" vertical="center" wrapText="1"/>
    </xf>
    <xf numFmtId="0" fontId="73" fillId="87" borderId="71" xfId="0" applyFont="1" applyFill="1" applyBorder="1" applyAlignment="1">
      <alignment horizontal="center" vertical="center"/>
    </xf>
    <xf numFmtId="0" fontId="29" fillId="0" borderId="72" xfId="0" applyFont="1" applyBorder="1"/>
    <xf numFmtId="0" fontId="93" fillId="87" borderId="73" xfId="0" applyFont="1" applyFill="1" applyBorder="1" applyAlignment="1">
      <alignment horizontal="left" vertical="center" wrapText="1"/>
    </xf>
    <xf numFmtId="0" fontId="89" fillId="87" borderId="68" xfId="0" applyFont="1" applyFill="1" applyBorder="1" applyAlignment="1">
      <alignment horizontal="center" vertical="center" wrapText="1"/>
    </xf>
    <xf numFmtId="0" fontId="73" fillId="87" borderId="64" xfId="0" applyFont="1" applyFill="1" applyBorder="1" applyAlignment="1">
      <alignment horizontal="left" vertical="center" wrapText="1"/>
    </xf>
    <xf numFmtId="169" fontId="73" fillId="87" borderId="70" xfId="0" applyNumberFormat="1" applyFont="1" applyFill="1" applyBorder="1" applyAlignment="1">
      <alignment horizontal="center" vertical="center" wrapText="1"/>
    </xf>
    <xf numFmtId="2" fontId="29" fillId="0" borderId="0" xfId="0" applyNumberFormat="1" applyFont="1"/>
    <xf numFmtId="0" fontId="2" fillId="3" borderId="58"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3" borderId="69"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1" xfId="0" applyFont="1" applyFill="1" applyBorder="1" applyAlignment="1">
      <alignment horizontal="right" vertical="center" wrapText="1"/>
    </xf>
    <xf numFmtId="0" fontId="2" fillId="3" borderId="68" xfId="0" applyFont="1" applyFill="1" applyBorder="1" applyAlignment="1">
      <alignment horizontal="center" vertical="center" wrapText="1"/>
    </xf>
    <xf numFmtId="0" fontId="2" fillId="3" borderId="68" xfId="0" applyFont="1" applyFill="1" applyBorder="1" applyAlignment="1">
      <alignment horizontal="right" vertical="center" wrapText="1"/>
    </xf>
    <xf numFmtId="0" fontId="2" fillId="3" borderId="69" xfId="0" applyFont="1" applyFill="1" applyBorder="1" applyAlignment="1">
      <alignment horizontal="right" vertical="center" wrapText="1"/>
    </xf>
    <xf numFmtId="0" fontId="2" fillId="38" borderId="0" xfId="0" applyFont="1" applyFill="1" applyAlignment="1">
      <alignment horizontal="right" vertical="center" wrapText="1"/>
    </xf>
    <xf numFmtId="0" fontId="2" fillId="88" borderId="1" xfId="0" applyFont="1" applyFill="1" applyBorder="1" applyAlignment="1">
      <alignment horizontal="right" vertical="center" wrapText="1"/>
    </xf>
    <xf numFmtId="0" fontId="9" fillId="11" borderId="1" xfId="17" applyBorder="1" applyAlignment="1">
      <alignment horizontal="center" vertical="center" wrapText="1"/>
    </xf>
    <xf numFmtId="0" fontId="95" fillId="4" borderId="66" xfId="0" applyFont="1" applyFill="1" applyBorder="1" applyAlignment="1">
      <alignment horizontal="left" vertical="center" wrapText="1"/>
    </xf>
    <xf numFmtId="0" fontId="95" fillId="4" borderId="65" xfId="0" applyFont="1" applyFill="1" applyBorder="1" applyAlignment="1">
      <alignment horizontal="left" vertical="center" wrapText="1"/>
    </xf>
    <xf numFmtId="0" fontId="95" fillId="4" borderId="65" xfId="0" applyFont="1" applyFill="1" applyBorder="1" applyAlignment="1">
      <alignment horizontal="right" vertical="center" wrapText="1"/>
    </xf>
    <xf numFmtId="0" fontId="95" fillId="4" borderId="66" xfId="0" applyFont="1" applyFill="1" applyBorder="1" applyAlignment="1">
      <alignment horizontal="right" vertical="center" wrapText="1"/>
    </xf>
    <xf numFmtId="0" fontId="95" fillId="4" borderId="65" xfId="0" applyFont="1" applyFill="1" applyBorder="1" applyAlignment="1">
      <alignment horizontal="center" vertical="center" wrapText="1"/>
    </xf>
    <xf numFmtId="0" fontId="95" fillId="4" borderId="65" xfId="0" applyFont="1" applyFill="1" applyBorder="1" applyAlignment="1">
      <alignment horizontal="center" vertical="center"/>
    </xf>
    <xf numFmtId="0" fontId="95" fillId="38" borderId="0" xfId="0" applyFont="1" applyFill="1" applyAlignment="1">
      <alignment horizontal="right" vertical="center" wrapText="1"/>
    </xf>
    <xf numFmtId="0" fontId="9" fillId="11" borderId="65" xfId="17" applyBorder="1" applyAlignment="1">
      <alignment horizontal="center" vertical="center" wrapText="1"/>
    </xf>
    <xf numFmtId="0" fontId="95" fillId="5" borderId="1" xfId="0" applyFont="1" applyFill="1" applyBorder="1" applyAlignment="1">
      <alignment horizontal="center"/>
    </xf>
    <xf numFmtId="0" fontId="95" fillId="5" borderId="69" xfId="0" applyFont="1" applyFill="1" applyBorder="1" applyAlignment="1">
      <alignment horizontal="center"/>
    </xf>
    <xf numFmtId="0" fontId="95" fillId="38" borderId="0" xfId="0" applyFont="1" applyFill="1" applyAlignment="1">
      <alignment horizontal="center"/>
    </xf>
    <xf numFmtId="0" fontId="9" fillId="11" borderId="0" xfId="17"/>
    <xf numFmtId="174" fontId="0" fillId="0" borderId="0" xfId="0" applyNumberFormat="1"/>
    <xf numFmtId="0" fontId="0" fillId="0" borderId="0" xfId="0" applyAlignment="1">
      <alignment horizontal="left"/>
    </xf>
    <xf numFmtId="0" fontId="96" fillId="0" borderId="70" xfId="0" applyFont="1" applyBorder="1" applyAlignment="1">
      <alignment horizontal="center"/>
    </xf>
    <xf numFmtId="2" fontId="83" fillId="0" borderId="70" xfId="0" applyNumberFormat="1" applyFont="1" applyBorder="1" applyAlignment="1">
      <alignment horizontal="center"/>
    </xf>
    <xf numFmtId="2" fontId="96" fillId="0" borderId="70" xfId="0" applyNumberFormat="1" applyFont="1" applyBorder="1" applyAlignment="1">
      <alignment horizontal="center"/>
    </xf>
    <xf numFmtId="173" fontId="96" fillId="0" borderId="70" xfId="0" applyNumberFormat="1" applyFont="1" applyBorder="1" applyAlignment="1">
      <alignment horizontal="center"/>
    </xf>
    <xf numFmtId="0" fontId="95" fillId="0" borderId="0" xfId="0" applyFont="1" applyAlignment="1">
      <alignment horizontal="center"/>
    </xf>
    <xf numFmtId="0" fontId="96" fillId="0" borderId="70" xfId="0" applyFont="1" applyBorder="1" applyAlignment="1">
      <alignment horizontal="left"/>
    </xf>
    <xf numFmtId="0" fontId="96" fillId="0" borderId="0" xfId="0" applyFont="1" applyAlignment="1">
      <alignment horizontal="center"/>
    </xf>
    <xf numFmtId="2" fontId="96" fillId="0" borderId="0" xfId="0" applyNumberFormat="1" applyFont="1" applyAlignment="1">
      <alignment horizontal="center"/>
    </xf>
    <xf numFmtId="0" fontId="97" fillId="0" borderId="0" xfId="0" applyFont="1" applyAlignment="1">
      <alignment horizontal="right"/>
    </xf>
    <xf numFmtId="0" fontId="0" fillId="0" borderId="75" xfId="0" applyBorder="1"/>
    <xf numFmtId="0" fontId="0" fillId="0" borderId="44" xfId="0" applyBorder="1"/>
    <xf numFmtId="174" fontId="0" fillId="0" borderId="44" xfId="0" applyNumberFormat="1" applyBorder="1"/>
    <xf numFmtId="0" fontId="0" fillId="0" borderId="44" xfId="0" applyBorder="1" applyAlignment="1">
      <alignment horizontal="left"/>
    </xf>
    <xf numFmtId="0" fontId="96" fillId="0" borderId="76" xfId="0" applyFont="1" applyBorder="1" applyAlignment="1">
      <alignment horizontal="center"/>
    </xf>
    <xf numFmtId="2" fontId="96" fillId="0" borderId="76" xfId="0" applyNumberFormat="1" applyFont="1" applyBorder="1" applyAlignment="1">
      <alignment horizontal="center"/>
    </xf>
    <xf numFmtId="173" fontId="96" fillId="0" borderId="76" xfId="0" applyNumberFormat="1" applyFont="1" applyBorder="1" applyAlignment="1">
      <alignment horizontal="center"/>
    </xf>
    <xf numFmtId="0" fontId="97" fillId="0" borderId="44" xfId="0" applyFont="1" applyBorder="1" applyAlignment="1">
      <alignment horizontal="right"/>
    </xf>
    <xf numFmtId="0" fontId="97" fillId="0" borderId="77" xfId="0" applyFont="1" applyBorder="1" applyAlignment="1">
      <alignment horizontal="right"/>
    </xf>
    <xf numFmtId="0" fontId="95" fillId="0" borderId="44" xfId="0" applyFont="1" applyBorder="1" applyAlignment="1">
      <alignment horizontal="center"/>
    </xf>
    <xf numFmtId="0" fontId="96" fillId="0" borderId="76" xfId="0" applyFont="1" applyBorder="1" applyAlignment="1">
      <alignment horizontal="left"/>
    </xf>
    <xf numFmtId="0" fontId="9" fillId="11" borderId="44" xfId="17" applyBorder="1"/>
    <xf numFmtId="0" fontId="96" fillId="0" borderId="71" xfId="0" applyFont="1" applyBorder="1" applyAlignment="1">
      <alignment horizontal="center"/>
    </xf>
    <xf numFmtId="2" fontId="96" fillId="0" borderId="71" xfId="0" applyNumberFormat="1" applyFont="1" applyBorder="1" applyAlignment="1">
      <alignment horizontal="center"/>
    </xf>
    <xf numFmtId="173" fontId="96" fillId="0" borderId="71" xfId="0" applyNumberFormat="1" applyFont="1" applyBorder="1" applyAlignment="1">
      <alignment horizontal="center"/>
    </xf>
    <xf numFmtId="0" fontId="96" fillId="0" borderId="71" xfId="0" applyFont="1" applyBorder="1" applyAlignment="1">
      <alignment horizontal="left"/>
    </xf>
    <xf numFmtId="0" fontId="96" fillId="0" borderId="72" xfId="0" applyFont="1" applyBorder="1" applyAlignment="1">
      <alignment horizontal="center"/>
    </xf>
    <xf numFmtId="0" fontId="9" fillId="11" borderId="1" xfId="17" applyBorder="1"/>
    <xf numFmtId="0" fontId="9" fillId="11" borderId="0" xfId="17" applyBorder="1"/>
    <xf numFmtId="2" fontId="96" fillId="0" borderId="72" xfId="0" applyNumberFormat="1" applyFont="1" applyBorder="1" applyAlignment="1">
      <alignment horizontal="center"/>
    </xf>
    <xf numFmtId="173" fontId="96" fillId="0" borderId="72" xfId="0" applyNumberFormat="1" applyFont="1" applyBorder="1" applyAlignment="1">
      <alignment horizontal="center"/>
    </xf>
    <xf numFmtId="174" fontId="0" fillId="0" borderId="1" xfId="0" applyNumberFormat="1" applyBorder="1"/>
    <xf numFmtId="0" fontId="0" fillId="0" borderId="1" xfId="0" applyBorder="1" applyAlignment="1">
      <alignment horizontal="left"/>
    </xf>
    <xf numFmtId="2" fontId="96" fillId="0" borderId="1" xfId="0" applyNumberFormat="1" applyFont="1" applyBorder="1" applyAlignment="1">
      <alignment horizontal="center"/>
    </xf>
    <xf numFmtId="0" fontId="95" fillId="0" borderId="1" xfId="0" applyFont="1" applyBorder="1" applyAlignment="1">
      <alignment horizontal="center"/>
    </xf>
    <xf numFmtId="0" fontId="9" fillId="11" borderId="14" xfId="17" applyBorder="1"/>
    <xf numFmtId="174" fontId="0" fillId="0" borderId="14" xfId="0" applyNumberFormat="1" applyBorder="1"/>
    <xf numFmtId="0" fontId="0" fillId="0" borderId="14" xfId="0" applyBorder="1" applyAlignment="1">
      <alignment horizontal="left"/>
    </xf>
    <xf numFmtId="0" fontId="97" fillId="0" borderId="14" xfId="0" applyFont="1" applyBorder="1" applyAlignment="1">
      <alignment horizontal="right"/>
    </xf>
    <xf numFmtId="0" fontId="95" fillId="0" borderId="14" xfId="0" applyFont="1" applyBorder="1" applyAlignment="1">
      <alignment horizontal="center"/>
    </xf>
    <xf numFmtId="0" fontId="95" fillId="0" borderId="62" xfId="0" applyFont="1" applyBorder="1" applyAlignment="1">
      <alignment horizontal="center"/>
    </xf>
    <xf numFmtId="0" fontId="95" fillId="0" borderId="60" xfId="0" applyFont="1" applyBorder="1" applyAlignment="1">
      <alignment horizontal="center"/>
    </xf>
    <xf numFmtId="0" fontId="0" fillId="0" borderId="60" xfId="0" applyBorder="1" applyAlignment="1">
      <alignment horizontal="left"/>
    </xf>
    <xf numFmtId="0" fontId="96" fillId="0" borderId="69" xfId="0" applyFont="1" applyBorder="1" applyAlignment="1">
      <alignment horizontal="center"/>
    </xf>
    <xf numFmtId="0" fontId="96" fillId="0" borderId="64" xfId="0" applyFont="1" applyBorder="1" applyAlignment="1">
      <alignment horizontal="center"/>
    </xf>
    <xf numFmtId="0" fontId="9" fillId="11" borderId="57" xfId="17" applyBorder="1"/>
    <xf numFmtId="0" fontId="9" fillId="11" borderId="59" xfId="17" applyBorder="1"/>
    <xf numFmtId="0" fontId="97" fillId="0" borderId="61" xfId="0" applyFont="1" applyBorder="1" applyAlignment="1">
      <alignment horizontal="right"/>
    </xf>
    <xf numFmtId="0" fontId="97" fillId="0" borderId="59" xfId="0" applyFont="1" applyBorder="1" applyAlignment="1">
      <alignment horizontal="right"/>
    </xf>
    <xf numFmtId="2" fontId="96" fillId="0" borderId="14" xfId="0" applyNumberFormat="1" applyFont="1" applyBorder="1" applyAlignment="1">
      <alignment horizontal="center"/>
    </xf>
    <xf numFmtId="0" fontId="96" fillId="0" borderId="14" xfId="0" applyFont="1" applyBorder="1" applyAlignment="1">
      <alignment horizontal="center"/>
    </xf>
    <xf numFmtId="0" fontId="9" fillId="11" borderId="61" xfId="17" applyBorder="1"/>
    <xf numFmtId="0" fontId="96" fillId="0" borderId="0" xfId="0" applyFont="1" applyAlignment="1">
      <alignment horizontal="left"/>
    </xf>
    <xf numFmtId="0" fontId="0" fillId="0" borderId="62" xfId="0" applyBorder="1" applyAlignment="1">
      <alignment horizontal="left"/>
    </xf>
    <xf numFmtId="0" fontId="96" fillId="0" borderId="14" xfId="0" applyFont="1" applyBorder="1" applyAlignment="1">
      <alignment horizontal="left"/>
    </xf>
    <xf numFmtId="0" fontId="0" fillId="6" borderId="0" xfId="0" applyFill="1"/>
    <xf numFmtId="0" fontId="96" fillId="38" borderId="0" xfId="0" applyFont="1" applyFill="1" applyAlignment="1">
      <alignment horizontal="center"/>
    </xf>
    <xf numFmtId="0" fontId="96" fillId="38" borderId="0" xfId="439" applyNumberFormat="1" applyFont="1" applyFill="1" applyBorder="1" applyAlignment="1"/>
    <xf numFmtId="0" fontId="96" fillId="38" borderId="73" xfId="0" applyFont="1" applyFill="1" applyBorder="1" applyAlignment="1">
      <alignment horizontal="center"/>
    </xf>
    <xf numFmtId="0" fontId="96" fillId="38" borderId="59" xfId="0" applyFont="1" applyFill="1" applyBorder="1" applyAlignment="1">
      <alignment horizontal="center"/>
    </xf>
    <xf numFmtId="0" fontId="29" fillId="0" borderId="0" xfId="0" applyFont="1" applyAlignment="1">
      <alignment horizontal="left"/>
    </xf>
    <xf numFmtId="2" fontId="0" fillId="41" borderId="70" xfId="0" applyNumberFormat="1" applyFill="1" applyBorder="1"/>
    <xf numFmtId="2" fontId="0" fillId="0" borderId="70" xfId="0" applyNumberFormat="1" applyBorder="1"/>
    <xf numFmtId="2" fontId="0" fillId="0" borderId="70" xfId="0" applyNumberFormat="1" applyBorder="1" applyAlignment="1">
      <alignment horizontal="center"/>
    </xf>
    <xf numFmtId="2" fontId="29" fillId="0" borderId="64" xfId="0" applyNumberFormat="1" applyFont="1" applyBorder="1" applyAlignment="1">
      <alignment horizontal="center"/>
    </xf>
    <xf numFmtId="2" fontId="29" fillId="0" borderId="0" xfId="0" applyNumberFormat="1" applyFont="1" applyAlignment="1">
      <alignment horizontal="center"/>
    </xf>
    <xf numFmtId="2" fontId="29" fillId="38" borderId="0" xfId="0" applyNumberFormat="1" applyFont="1" applyFill="1" applyAlignment="1">
      <alignment horizontal="center"/>
    </xf>
    <xf numFmtId="0" fontId="0" fillId="0" borderId="69" xfId="0" applyBorder="1"/>
    <xf numFmtId="0" fontId="0" fillId="0" borderId="70" xfId="0" applyBorder="1"/>
    <xf numFmtId="0" fontId="29" fillId="0" borderId="0" xfId="0" quotePrefix="1" applyFont="1" applyAlignment="1">
      <alignment horizontal="left"/>
    </xf>
    <xf numFmtId="0" fontId="29" fillId="0" borderId="14" xfId="0" applyFont="1" applyBorder="1" applyAlignment="1">
      <alignment horizontal="left"/>
    </xf>
    <xf numFmtId="0" fontId="29" fillId="0" borderId="62" xfId="0" applyFont="1" applyBorder="1" applyAlignment="1">
      <alignment horizontal="left"/>
    </xf>
    <xf numFmtId="0" fontId="29" fillId="0" borderId="0" xfId="0" applyFont="1" applyAlignment="1">
      <alignment horizontal="center"/>
    </xf>
    <xf numFmtId="2" fontId="0" fillId="0" borderId="0" xfId="0" applyNumberFormat="1" applyAlignment="1">
      <alignment horizontal="center"/>
    </xf>
    <xf numFmtId="0" fontId="29" fillId="0" borderId="70" xfId="0" applyFont="1" applyBorder="1" applyAlignment="1">
      <alignment horizontal="center"/>
    </xf>
    <xf numFmtId="0" fontId="1" fillId="0" borderId="0" xfId="1"/>
    <xf numFmtId="0" fontId="0" fillId="0" borderId="64" xfId="0" applyBorder="1"/>
    <xf numFmtId="0" fontId="0" fillId="38" borderId="0" xfId="0" applyFill="1"/>
    <xf numFmtId="174" fontId="1" fillId="2" borderId="0" xfId="1" applyNumberFormat="1" applyFill="1"/>
    <xf numFmtId="174" fontId="1" fillId="0" borderId="0" xfId="1" applyNumberFormat="1"/>
    <xf numFmtId="174" fontId="2" fillId="3" borderId="1" xfId="1" applyNumberFormat="1" applyFont="1" applyFill="1" applyBorder="1" applyAlignment="1">
      <alignment horizontal="left" vertical="center" wrapText="1"/>
    </xf>
    <xf numFmtId="174" fontId="98" fillId="9" borderId="44" xfId="1" quotePrefix="1" applyNumberFormat="1" applyFont="1" applyFill="1" applyBorder="1" applyAlignment="1">
      <alignment horizontal="left" vertical="top" wrapText="1"/>
    </xf>
    <xf numFmtId="174" fontId="98" fillId="0" borderId="0" xfId="1" quotePrefix="1" applyNumberFormat="1" applyFont="1" applyAlignment="1">
      <alignment horizontal="left" vertical="top" wrapText="1"/>
    </xf>
    <xf numFmtId="174" fontId="99" fillId="0" borderId="0" xfId="1" applyNumberFormat="1" applyFont="1"/>
    <xf numFmtId="174" fontId="98" fillId="9" borderId="65" xfId="1" applyNumberFormat="1" applyFont="1" applyFill="1" applyBorder="1" applyAlignment="1">
      <alignment horizontal="left" vertical="top" wrapText="1"/>
    </xf>
    <xf numFmtId="174" fontId="98" fillId="9" borderId="65" xfId="1" quotePrefix="1" applyNumberFormat="1" applyFont="1" applyFill="1" applyBorder="1" applyAlignment="1">
      <alignment horizontal="left" vertical="top" wrapText="1"/>
    </xf>
    <xf numFmtId="174" fontId="1" fillId="0" borderId="0" xfId="1" applyNumberFormat="1" applyAlignment="1">
      <alignment horizontal="left"/>
    </xf>
    <xf numFmtId="174" fontId="99" fillId="0" borderId="0" xfId="1" applyNumberFormat="1" applyFont="1" applyAlignment="1">
      <alignment horizontal="left" wrapText="1"/>
    </xf>
    <xf numFmtId="174" fontId="0" fillId="0" borderId="0" xfId="438" applyNumberFormat="1" applyFont="1"/>
    <xf numFmtId="0" fontId="100" fillId="0" borderId="0" xfId="0" applyFont="1"/>
    <xf numFmtId="0" fontId="2" fillId="3" borderId="0" xfId="0" applyFont="1" applyFill="1" applyBorder="1" applyAlignment="1">
      <alignment horizontal="center" vertical="center" wrapText="1"/>
    </xf>
    <xf numFmtId="0" fontId="2" fillId="3" borderId="0" xfId="0" applyFont="1" applyFill="1" applyBorder="1" applyAlignment="1">
      <alignment horizontal="right" vertical="center" wrapText="1"/>
    </xf>
    <xf numFmtId="4" fontId="49" fillId="89" borderId="70" xfId="0" applyNumberFormat="1" applyFont="1" applyFill="1" applyBorder="1" applyAlignment="1">
      <alignment horizontal="right"/>
    </xf>
    <xf numFmtId="0" fontId="0" fillId="0" borderId="0" xfId="0" applyAlignment="1">
      <alignment wrapText="1"/>
    </xf>
    <xf numFmtId="169" fontId="0" fillId="0" borderId="0" xfId="0" applyNumberFormat="1"/>
    <xf numFmtId="0" fontId="1" fillId="90" borderId="78" xfId="1326" applyFill="1" applyBorder="1"/>
    <xf numFmtId="0" fontId="1" fillId="0" borderId="78" xfId="1326" applyBorder="1"/>
    <xf numFmtId="0" fontId="1" fillId="90" borderId="79" xfId="1326" applyFill="1" applyBorder="1"/>
    <xf numFmtId="0" fontId="1" fillId="0" borderId="79" xfId="1326" applyBorder="1"/>
    <xf numFmtId="180" fontId="1" fillId="0" borderId="79" xfId="1326" applyNumberFormat="1" applyBorder="1"/>
    <xf numFmtId="8" fontId="0" fillId="0" borderId="0" xfId="0" applyNumberFormat="1"/>
    <xf numFmtId="0" fontId="0" fillId="0" borderId="0" xfId="0" applyAlignment="1">
      <alignment horizontal="right"/>
    </xf>
    <xf numFmtId="0" fontId="33" fillId="0" borderId="19" xfId="0" applyFont="1" applyBorder="1" applyAlignment="1">
      <alignment vertical="center" wrapText="1"/>
    </xf>
    <xf numFmtId="0" fontId="33" fillId="0" borderId="17" xfId="0" applyFont="1" applyBorder="1" applyAlignment="1">
      <alignment vertical="center" wrapText="1"/>
    </xf>
    <xf numFmtId="0" fontId="33" fillId="6" borderId="19" xfId="0" applyFont="1" applyFill="1" applyBorder="1" applyAlignment="1">
      <alignment vertical="center" wrapText="1"/>
    </xf>
    <xf numFmtId="0" fontId="33" fillId="6" borderId="17" xfId="0" applyFont="1" applyFill="1" applyBorder="1" applyAlignment="1">
      <alignment vertical="center" wrapText="1"/>
    </xf>
    <xf numFmtId="0" fontId="33" fillId="0" borderId="19" xfId="0" applyFont="1" applyFill="1" applyBorder="1" applyAlignment="1">
      <alignment vertical="center" wrapText="1"/>
    </xf>
    <xf numFmtId="0" fontId="33" fillId="0" borderId="17" xfId="0" applyFont="1" applyFill="1" applyBorder="1" applyAlignment="1">
      <alignment vertical="center" wrapText="1"/>
    </xf>
    <xf numFmtId="0" fontId="75" fillId="80" borderId="53" xfId="0" applyFont="1" applyFill="1" applyBorder="1" applyAlignment="1">
      <alignment vertical="center" wrapText="1"/>
    </xf>
    <xf numFmtId="0" fontId="75" fillId="80" borderId="54" xfId="0" applyFont="1" applyFill="1" applyBorder="1" applyAlignment="1">
      <alignment vertical="center" wrapText="1"/>
    </xf>
    <xf numFmtId="0" fontId="75" fillId="80" borderId="55" xfId="0" applyFont="1" applyFill="1" applyBorder="1" applyAlignment="1">
      <alignment vertical="center" wrapText="1"/>
    </xf>
    <xf numFmtId="0" fontId="75" fillId="80" borderId="47" xfId="0" applyFont="1" applyFill="1" applyBorder="1" applyAlignment="1">
      <alignment vertical="center" wrapText="1"/>
    </xf>
    <xf numFmtId="0" fontId="75" fillId="80" borderId="48" xfId="0" applyFont="1" applyFill="1" applyBorder="1" applyAlignment="1">
      <alignment vertical="center" wrapText="1"/>
    </xf>
    <xf numFmtId="0" fontId="75" fillId="80" borderId="49" xfId="0" applyFont="1" applyFill="1" applyBorder="1" applyAlignment="1">
      <alignment vertical="center" wrapText="1"/>
    </xf>
    <xf numFmtId="0" fontId="77" fillId="81" borderId="53" xfId="0" applyFont="1" applyFill="1" applyBorder="1" applyAlignment="1">
      <alignment horizontal="center" vertical="center" wrapText="1"/>
    </xf>
    <xf numFmtId="0" fontId="77" fillId="81" borderId="54" xfId="0" applyFont="1" applyFill="1" applyBorder="1" applyAlignment="1">
      <alignment horizontal="center" vertical="center" wrapText="1"/>
    </xf>
    <xf numFmtId="0" fontId="77" fillId="81" borderId="51" xfId="0" applyFont="1" applyFill="1" applyBorder="1" applyAlignment="1">
      <alignment horizontal="center" vertical="center" wrapText="1"/>
    </xf>
    <xf numFmtId="0" fontId="75" fillId="74" borderId="47" xfId="0" applyFont="1" applyFill="1" applyBorder="1" applyAlignment="1">
      <alignment vertical="center" wrapText="1"/>
    </xf>
    <xf numFmtId="0" fontId="75" fillId="74" borderId="48" xfId="0" applyFont="1" applyFill="1" applyBorder="1" applyAlignment="1">
      <alignment vertical="center" wrapText="1"/>
    </xf>
    <xf numFmtId="0" fontId="75" fillId="74" borderId="49" xfId="0" applyFont="1" applyFill="1" applyBorder="1" applyAlignment="1">
      <alignment vertical="center" wrapText="1"/>
    </xf>
    <xf numFmtId="0" fontId="75" fillId="74" borderId="53" xfId="0" applyFont="1" applyFill="1" applyBorder="1" applyAlignment="1">
      <alignment vertical="center" wrapText="1"/>
    </xf>
    <xf numFmtId="0" fontId="75" fillId="74" borderId="54" xfId="0" applyFont="1" applyFill="1" applyBorder="1" applyAlignment="1">
      <alignment vertical="center" wrapText="1"/>
    </xf>
    <xf numFmtId="0" fontId="75" fillId="74" borderId="55" xfId="0" applyFont="1" applyFill="1" applyBorder="1" applyAlignment="1">
      <alignment vertical="center" wrapText="1"/>
    </xf>
    <xf numFmtId="0" fontId="77" fillId="77" borderId="53" xfId="0" applyFont="1" applyFill="1" applyBorder="1" applyAlignment="1">
      <alignment horizontal="center" vertical="center" wrapText="1"/>
    </xf>
    <xf numFmtId="0" fontId="77" fillId="77" borderId="54" xfId="0" applyFont="1" applyFill="1" applyBorder="1" applyAlignment="1">
      <alignment horizontal="center" vertical="center" wrapText="1"/>
    </xf>
    <xf numFmtId="0" fontId="77" fillId="77" borderId="51" xfId="0" applyFont="1" applyFill="1" applyBorder="1" applyAlignment="1">
      <alignment horizontal="center" vertical="center" wrapText="1"/>
    </xf>
    <xf numFmtId="0" fontId="87" fillId="87" borderId="64" xfId="7722" applyFont="1" applyFill="1" applyBorder="1" applyAlignment="1">
      <alignment horizontal="center" vertical="center" wrapText="1"/>
    </xf>
    <xf numFmtId="0" fontId="86" fillId="87" borderId="68" xfId="0" applyFont="1" applyFill="1" applyBorder="1" applyAlignment="1">
      <alignment horizontal="center" vertical="center" wrapText="1"/>
    </xf>
    <xf numFmtId="0" fontId="86" fillId="87" borderId="69" xfId="0" applyFont="1" applyFill="1" applyBorder="1" applyAlignment="1">
      <alignment horizontal="center" vertical="center" wrapText="1"/>
    </xf>
    <xf numFmtId="0" fontId="88" fillId="87" borderId="64" xfId="0" applyFont="1" applyFill="1" applyBorder="1" applyAlignment="1">
      <alignment horizontal="center" vertical="center" wrapText="1"/>
    </xf>
    <xf numFmtId="0" fontId="88" fillId="87" borderId="69" xfId="0" applyFont="1" applyFill="1" applyBorder="1" applyAlignment="1">
      <alignment horizontal="center" vertical="center" wrapText="1"/>
    </xf>
    <xf numFmtId="0" fontId="86" fillId="87" borderId="1" xfId="0" applyFont="1" applyFill="1" applyBorder="1" applyAlignment="1">
      <alignment horizontal="center" vertical="center" wrapText="1"/>
    </xf>
    <xf numFmtId="0" fontId="88" fillId="87" borderId="57" xfId="0" applyFont="1" applyFill="1" applyBorder="1" applyAlignment="1">
      <alignment horizontal="center" vertical="center" wrapText="1"/>
    </xf>
    <xf numFmtId="0" fontId="88" fillId="87" borderId="58" xfId="0" applyFont="1" applyFill="1" applyBorder="1" applyAlignment="1">
      <alignment horizontal="center" vertical="center" wrapText="1"/>
    </xf>
    <xf numFmtId="0" fontId="86" fillId="87" borderId="74" xfId="0" applyFont="1" applyFill="1" applyBorder="1" applyAlignment="1">
      <alignment horizontal="center" vertical="center" wrapText="1"/>
    </xf>
  </cellXfs>
  <cellStyles count="7723">
    <cellStyle name="_x000a_shell=progma 2" xfId="657" xr:uid="{00000000-0005-0000-0000-000000000000}"/>
    <cellStyle name="_x000a_shell=progma 2 2" xfId="2079" xr:uid="{00000000-0005-0000-0000-000001000000}"/>
    <cellStyle name="1.000" xfId="658" xr:uid="{00000000-0005-0000-0000-000002000000}"/>
    <cellStyle name="1.000 2" xfId="2080" xr:uid="{00000000-0005-0000-0000-000003000000}"/>
    <cellStyle name="20 % - Markeringsfarve1" xfId="3270" xr:uid="{00000000-0005-0000-0000-000004000000}"/>
    <cellStyle name="20 % - Markeringsfarve1 2" xfId="3271" xr:uid="{00000000-0005-0000-0000-000005000000}"/>
    <cellStyle name="20 % - Markeringsfarve1 2 2" xfId="5489" xr:uid="{00000000-0005-0000-0000-000006000000}"/>
    <cellStyle name="20 % - Markeringsfarve1 2 3" xfId="6443" xr:uid="{00000000-0005-0000-0000-000007000000}"/>
    <cellStyle name="20 % - Markeringsfarve1 2 4" xfId="7357" xr:uid="{00000000-0005-0000-0000-000008000000}"/>
    <cellStyle name="20 % - Markeringsfarve1 3" xfId="5488" xr:uid="{00000000-0005-0000-0000-000009000000}"/>
    <cellStyle name="20 % - Markeringsfarve1 4" xfId="6442" xr:uid="{00000000-0005-0000-0000-00000A000000}"/>
    <cellStyle name="20 % - Markeringsfarve1 5" xfId="7356" xr:uid="{00000000-0005-0000-0000-00000B000000}"/>
    <cellStyle name="20 % - Markeringsfarve2" xfId="3272" xr:uid="{00000000-0005-0000-0000-00000C000000}"/>
    <cellStyle name="20 % - Markeringsfarve2 2" xfId="3273" xr:uid="{00000000-0005-0000-0000-00000D000000}"/>
    <cellStyle name="20 % - Markeringsfarve2 2 2" xfId="5491" xr:uid="{00000000-0005-0000-0000-00000E000000}"/>
    <cellStyle name="20 % - Markeringsfarve2 2 3" xfId="6445" xr:uid="{00000000-0005-0000-0000-00000F000000}"/>
    <cellStyle name="20 % - Markeringsfarve2 2 4" xfId="7359" xr:uid="{00000000-0005-0000-0000-000010000000}"/>
    <cellStyle name="20 % - Markeringsfarve2 3" xfId="5490" xr:uid="{00000000-0005-0000-0000-000011000000}"/>
    <cellStyle name="20 % - Markeringsfarve2 4" xfId="6444" xr:uid="{00000000-0005-0000-0000-000012000000}"/>
    <cellStyle name="20 % - Markeringsfarve2 5" xfId="7358" xr:uid="{00000000-0005-0000-0000-000013000000}"/>
    <cellStyle name="20 % - Markeringsfarve3" xfId="3274" xr:uid="{00000000-0005-0000-0000-000014000000}"/>
    <cellStyle name="20 % - Markeringsfarve3 2" xfId="3275" xr:uid="{00000000-0005-0000-0000-000015000000}"/>
    <cellStyle name="20 % - Markeringsfarve3 2 2" xfId="5493" xr:uid="{00000000-0005-0000-0000-000016000000}"/>
    <cellStyle name="20 % - Markeringsfarve3 2 3" xfId="6447" xr:uid="{00000000-0005-0000-0000-000017000000}"/>
    <cellStyle name="20 % - Markeringsfarve3 2 4" xfId="7361" xr:uid="{00000000-0005-0000-0000-000018000000}"/>
    <cellStyle name="20 % - Markeringsfarve3 3" xfId="5492" xr:uid="{00000000-0005-0000-0000-000019000000}"/>
    <cellStyle name="20 % - Markeringsfarve3 4" xfId="6446" xr:uid="{00000000-0005-0000-0000-00001A000000}"/>
    <cellStyle name="20 % - Markeringsfarve3 5" xfId="7360" xr:uid="{00000000-0005-0000-0000-00001B000000}"/>
    <cellStyle name="20 % - Markeringsfarve4" xfId="3276" xr:uid="{00000000-0005-0000-0000-00001C000000}"/>
    <cellStyle name="20 % - Markeringsfarve4 2" xfId="3277" xr:uid="{00000000-0005-0000-0000-00001D000000}"/>
    <cellStyle name="20 % - Markeringsfarve4 2 2" xfId="5495" xr:uid="{00000000-0005-0000-0000-00001E000000}"/>
    <cellStyle name="20 % - Markeringsfarve4 2 3" xfId="6449" xr:uid="{00000000-0005-0000-0000-00001F000000}"/>
    <cellStyle name="20 % - Markeringsfarve4 2 4" xfId="7363" xr:uid="{00000000-0005-0000-0000-000020000000}"/>
    <cellStyle name="20 % - Markeringsfarve4 3" xfId="5494" xr:uid="{00000000-0005-0000-0000-000021000000}"/>
    <cellStyle name="20 % - Markeringsfarve4 4" xfId="6448" xr:uid="{00000000-0005-0000-0000-000022000000}"/>
    <cellStyle name="20 % - Markeringsfarve4 5" xfId="7362" xr:uid="{00000000-0005-0000-0000-000023000000}"/>
    <cellStyle name="20 % - Markeringsfarve5" xfId="3278" xr:uid="{00000000-0005-0000-0000-000024000000}"/>
    <cellStyle name="20 % - Markeringsfarve5 2" xfId="3279" xr:uid="{00000000-0005-0000-0000-000025000000}"/>
    <cellStyle name="20 % - Markeringsfarve5 2 2" xfId="5497" xr:uid="{00000000-0005-0000-0000-000026000000}"/>
    <cellStyle name="20 % - Markeringsfarve5 2 3" xfId="6451" xr:uid="{00000000-0005-0000-0000-000027000000}"/>
    <cellStyle name="20 % - Markeringsfarve5 2 4" xfId="7365" xr:uid="{00000000-0005-0000-0000-000028000000}"/>
    <cellStyle name="20 % - Markeringsfarve5 3" xfId="5496" xr:uid="{00000000-0005-0000-0000-000029000000}"/>
    <cellStyle name="20 % - Markeringsfarve5 4" xfId="6450" xr:uid="{00000000-0005-0000-0000-00002A000000}"/>
    <cellStyle name="20 % - Markeringsfarve5 5" xfId="7364" xr:uid="{00000000-0005-0000-0000-00002B000000}"/>
    <cellStyle name="20 % - Markeringsfarve6" xfId="3280" xr:uid="{00000000-0005-0000-0000-00002C000000}"/>
    <cellStyle name="20 % - Markeringsfarve6 2" xfId="3281" xr:uid="{00000000-0005-0000-0000-00002D000000}"/>
    <cellStyle name="20 % - Markeringsfarve6 2 2" xfId="5499" xr:uid="{00000000-0005-0000-0000-00002E000000}"/>
    <cellStyle name="20 % - Markeringsfarve6 2 3" xfId="6453" xr:uid="{00000000-0005-0000-0000-00002F000000}"/>
    <cellStyle name="20 % - Markeringsfarve6 2 4" xfId="7367" xr:uid="{00000000-0005-0000-0000-000030000000}"/>
    <cellStyle name="20 % - Markeringsfarve6 3" xfId="5498" xr:uid="{00000000-0005-0000-0000-000031000000}"/>
    <cellStyle name="20 % - Markeringsfarve6 4" xfId="6452" xr:uid="{00000000-0005-0000-0000-000032000000}"/>
    <cellStyle name="20 % - Markeringsfarve6 5" xfId="7366" xr:uid="{00000000-0005-0000-0000-000033000000}"/>
    <cellStyle name="20% - Colore 1" xfId="18" xr:uid="{00000000-0005-0000-0000-000034000000}"/>
    <cellStyle name="20% - Colore 1 2" xfId="3282" xr:uid="{00000000-0005-0000-0000-000035000000}"/>
    <cellStyle name="20% - Colore 2" xfId="17" xr:uid="{00000000-0005-0000-0000-000036000000}"/>
    <cellStyle name="20% - Colore 2 2" xfId="3283" xr:uid="{00000000-0005-0000-0000-000037000000}"/>
    <cellStyle name="20% - Colore 3" xfId="16" xr:uid="{00000000-0005-0000-0000-000038000000}"/>
    <cellStyle name="20% - Colore 3 2" xfId="3284" xr:uid="{00000000-0005-0000-0000-000039000000}"/>
    <cellStyle name="20% - Colore 4" xfId="12" xr:uid="{00000000-0005-0000-0000-00003A000000}"/>
    <cellStyle name="20% - Colore 4 2" xfId="3285" xr:uid="{00000000-0005-0000-0000-00003B000000}"/>
    <cellStyle name="20% - Colore 5" xfId="15" xr:uid="{00000000-0005-0000-0000-00003C000000}"/>
    <cellStyle name="20% - Colore 5 2" xfId="3286" xr:uid="{00000000-0005-0000-0000-00003D000000}"/>
    <cellStyle name="20% - Colore 6" xfId="14" xr:uid="{00000000-0005-0000-0000-00003E000000}"/>
    <cellStyle name="20% - Colore 6 2" xfId="3287" xr:uid="{00000000-0005-0000-0000-00003F000000}"/>
    <cellStyle name="40 % - Markeringsfarve1" xfId="3288" xr:uid="{00000000-0005-0000-0000-000040000000}"/>
    <cellStyle name="40 % - Markeringsfarve1 2" xfId="3289" xr:uid="{00000000-0005-0000-0000-000041000000}"/>
    <cellStyle name="40 % - Markeringsfarve1 2 2" xfId="5501" xr:uid="{00000000-0005-0000-0000-000042000000}"/>
    <cellStyle name="40 % - Markeringsfarve1 2 3" xfId="6455" xr:uid="{00000000-0005-0000-0000-000043000000}"/>
    <cellStyle name="40 % - Markeringsfarve1 2 4" xfId="7369" xr:uid="{00000000-0005-0000-0000-000044000000}"/>
    <cellStyle name="40 % - Markeringsfarve1 3" xfId="5500" xr:uid="{00000000-0005-0000-0000-000045000000}"/>
    <cellStyle name="40 % - Markeringsfarve1 4" xfId="6454" xr:uid="{00000000-0005-0000-0000-000046000000}"/>
    <cellStyle name="40 % - Markeringsfarve1 5" xfId="7368" xr:uid="{00000000-0005-0000-0000-000047000000}"/>
    <cellStyle name="40 % - Markeringsfarve2" xfId="3290" xr:uid="{00000000-0005-0000-0000-000048000000}"/>
    <cellStyle name="40 % - Markeringsfarve2 2" xfId="3291" xr:uid="{00000000-0005-0000-0000-000049000000}"/>
    <cellStyle name="40 % - Markeringsfarve2 2 2" xfId="5503" xr:uid="{00000000-0005-0000-0000-00004A000000}"/>
    <cellStyle name="40 % - Markeringsfarve2 2 3" xfId="6457" xr:uid="{00000000-0005-0000-0000-00004B000000}"/>
    <cellStyle name="40 % - Markeringsfarve2 2 4" xfId="7371" xr:uid="{00000000-0005-0000-0000-00004C000000}"/>
    <cellStyle name="40 % - Markeringsfarve2 3" xfId="5502" xr:uid="{00000000-0005-0000-0000-00004D000000}"/>
    <cellStyle name="40 % - Markeringsfarve2 4" xfId="6456" xr:uid="{00000000-0005-0000-0000-00004E000000}"/>
    <cellStyle name="40 % - Markeringsfarve2 5" xfId="7370" xr:uid="{00000000-0005-0000-0000-00004F000000}"/>
    <cellStyle name="40 % - Markeringsfarve3" xfId="3292" xr:uid="{00000000-0005-0000-0000-000050000000}"/>
    <cellStyle name="40 % - Markeringsfarve3 2" xfId="3293" xr:uid="{00000000-0005-0000-0000-000051000000}"/>
    <cellStyle name="40 % - Markeringsfarve3 2 2" xfId="5505" xr:uid="{00000000-0005-0000-0000-000052000000}"/>
    <cellStyle name="40 % - Markeringsfarve3 2 3" xfId="6459" xr:uid="{00000000-0005-0000-0000-000053000000}"/>
    <cellStyle name="40 % - Markeringsfarve3 2 4" xfId="7373" xr:uid="{00000000-0005-0000-0000-000054000000}"/>
    <cellStyle name="40 % - Markeringsfarve3 3" xfId="5504" xr:uid="{00000000-0005-0000-0000-000055000000}"/>
    <cellStyle name="40 % - Markeringsfarve3 4" xfId="6458" xr:uid="{00000000-0005-0000-0000-000056000000}"/>
    <cellStyle name="40 % - Markeringsfarve3 5" xfId="7372" xr:uid="{00000000-0005-0000-0000-000057000000}"/>
    <cellStyle name="40 % - Markeringsfarve4" xfId="3294" xr:uid="{00000000-0005-0000-0000-000058000000}"/>
    <cellStyle name="40 % - Markeringsfarve4 2" xfId="3295" xr:uid="{00000000-0005-0000-0000-000059000000}"/>
    <cellStyle name="40 % - Markeringsfarve4 2 2" xfId="5507" xr:uid="{00000000-0005-0000-0000-00005A000000}"/>
    <cellStyle name="40 % - Markeringsfarve4 2 3" xfId="6461" xr:uid="{00000000-0005-0000-0000-00005B000000}"/>
    <cellStyle name="40 % - Markeringsfarve4 2 4" xfId="7375" xr:uid="{00000000-0005-0000-0000-00005C000000}"/>
    <cellStyle name="40 % - Markeringsfarve4 3" xfId="5506" xr:uid="{00000000-0005-0000-0000-00005D000000}"/>
    <cellStyle name="40 % - Markeringsfarve4 4" xfId="6460" xr:uid="{00000000-0005-0000-0000-00005E000000}"/>
    <cellStyle name="40 % - Markeringsfarve4 5" xfId="7374" xr:uid="{00000000-0005-0000-0000-00005F000000}"/>
    <cellStyle name="40 % - Markeringsfarve5" xfId="3296" xr:uid="{00000000-0005-0000-0000-000060000000}"/>
    <cellStyle name="40 % - Markeringsfarve5 2" xfId="3297" xr:uid="{00000000-0005-0000-0000-000061000000}"/>
    <cellStyle name="40 % - Markeringsfarve5 2 2" xfId="5509" xr:uid="{00000000-0005-0000-0000-000062000000}"/>
    <cellStyle name="40 % - Markeringsfarve5 2 3" xfId="6463" xr:uid="{00000000-0005-0000-0000-000063000000}"/>
    <cellStyle name="40 % - Markeringsfarve5 2 4" xfId="7377" xr:uid="{00000000-0005-0000-0000-000064000000}"/>
    <cellStyle name="40 % - Markeringsfarve5 3" xfId="5508" xr:uid="{00000000-0005-0000-0000-000065000000}"/>
    <cellStyle name="40 % - Markeringsfarve5 4" xfId="6462" xr:uid="{00000000-0005-0000-0000-000066000000}"/>
    <cellStyle name="40 % - Markeringsfarve5 5" xfId="7376" xr:uid="{00000000-0005-0000-0000-000067000000}"/>
    <cellStyle name="40 % - Markeringsfarve6" xfId="3298" xr:uid="{00000000-0005-0000-0000-000068000000}"/>
    <cellStyle name="40 % - Markeringsfarve6 2" xfId="3299" xr:uid="{00000000-0005-0000-0000-000069000000}"/>
    <cellStyle name="40 % - Markeringsfarve6 2 2" xfId="5511" xr:uid="{00000000-0005-0000-0000-00006A000000}"/>
    <cellStyle name="40 % - Markeringsfarve6 2 3" xfId="6465" xr:uid="{00000000-0005-0000-0000-00006B000000}"/>
    <cellStyle name="40 % - Markeringsfarve6 2 4" xfId="7379" xr:uid="{00000000-0005-0000-0000-00006C000000}"/>
    <cellStyle name="40 % - Markeringsfarve6 3" xfId="5510" xr:uid="{00000000-0005-0000-0000-00006D000000}"/>
    <cellStyle name="40 % - Markeringsfarve6 4" xfId="6464" xr:uid="{00000000-0005-0000-0000-00006E000000}"/>
    <cellStyle name="40 % - Markeringsfarve6 5" xfId="7378" xr:uid="{00000000-0005-0000-0000-00006F000000}"/>
    <cellStyle name="40% - Colore 1" xfId="13" xr:uid="{00000000-0005-0000-0000-000070000000}"/>
    <cellStyle name="40% - Colore 1 2" xfId="3300" xr:uid="{00000000-0005-0000-0000-000071000000}"/>
    <cellStyle name="40% - Colore 2" xfId="20" xr:uid="{00000000-0005-0000-0000-000072000000}"/>
    <cellStyle name="40% - Colore 2 2" xfId="3301" xr:uid="{00000000-0005-0000-0000-000073000000}"/>
    <cellStyle name="40% - Colore 3" xfId="21" xr:uid="{00000000-0005-0000-0000-000074000000}"/>
    <cellStyle name="40% - Colore 3 2" xfId="3302" xr:uid="{00000000-0005-0000-0000-000075000000}"/>
    <cellStyle name="40% - Colore 4" xfId="22" xr:uid="{00000000-0005-0000-0000-000076000000}"/>
    <cellStyle name="40% - Colore 4 2" xfId="3303" xr:uid="{00000000-0005-0000-0000-000077000000}"/>
    <cellStyle name="40% - Colore 5" xfId="23" xr:uid="{00000000-0005-0000-0000-000078000000}"/>
    <cellStyle name="40% - Colore 5 2" xfId="3304" xr:uid="{00000000-0005-0000-0000-000079000000}"/>
    <cellStyle name="40% - Colore 6" xfId="24" xr:uid="{00000000-0005-0000-0000-00007A000000}"/>
    <cellStyle name="40% - Colore 6 2" xfId="3305" xr:uid="{00000000-0005-0000-0000-00007B000000}"/>
    <cellStyle name="5x indented GHG Textfiels" xfId="659" xr:uid="{00000000-0005-0000-0000-00007C000000}"/>
    <cellStyle name="5x indented GHG Textfiels 2" xfId="2081" xr:uid="{00000000-0005-0000-0000-00007D000000}"/>
    <cellStyle name="60 % - Markeringsfarve1" xfId="3306" xr:uid="{00000000-0005-0000-0000-00007E000000}"/>
    <cellStyle name="60 % - Markeringsfarve2" xfId="3307" xr:uid="{00000000-0005-0000-0000-00007F000000}"/>
    <cellStyle name="60 % - Markeringsfarve3" xfId="3308" xr:uid="{00000000-0005-0000-0000-000080000000}"/>
    <cellStyle name="60 % - Markeringsfarve4" xfId="3309" xr:uid="{00000000-0005-0000-0000-000081000000}"/>
    <cellStyle name="60 % - Markeringsfarve5" xfId="3310" xr:uid="{00000000-0005-0000-0000-000082000000}"/>
    <cellStyle name="60 % - Markeringsfarve6" xfId="3311" xr:uid="{00000000-0005-0000-0000-000083000000}"/>
    <cellStyle name="60% - Colore 1" xfId="25" xr:uid="{00000000-0005-0000-0000-000084000000}"/>
    <cellStyle name="60% - Colore 2" xfId="26" xr:uid="{00000000-0005-0000-0000-000085000000}"/>
    <cellStyle name="60% - Colore 3" xfId="27" xr:uid="{00000000-0005-0000-0000-000086000000}"/>
    <cellStyle name="60% - Colore 4" xfId="28" xr:uid="{00000000-0005-0000-0000-000087000000}"/>
    <cellStyle name="60% - Colore 5" xfId="29" xr:uid="{00000000-0005-0000-0000-000088000000}"/>
    <cellStyle name="60% - Colore 6" xfId="30" xr:uid="{00000000-0005-0000-0000-000089000000}"/>
    <cellStyle name="AggOrange_CRFReport-template" xfId="660" xr:uid="{00000000-0005-0000-0000-00008A000000}"/>
    <cellStyle name="AggOrange9_CRFReport-template" xfId="661" xr:uid="{00000000-0005-0000-0000-00008B000000}"/>
    <cellStyle name="Bad 2" xfId="5" xr:uid="{00000000-0005-0000-0000-00008C000000}"/>
    <cellStyle name="Bad 3" xfId="2014" xr:uid="{00000000-0005-0000-0000-00008D000000}"/>
    <cellStyle name="Bad 4" xfId="3312" xr:uid="{00000000-0005-0000-0000-00008E000000}"/>
    <cellStyle name="Bruger data" xfId="662" xr:uid="{00000000-0005-0000-0000-00008F000000}"/>
    <cellStyle name="Calcolo" xfId="31" xr:uid="{00000000-0005-0000-0000-000090000000}"/>
    <cellStyle name="Calcolo 2" xfId="3313" xr:uid="{00000000-0005-0000-0000-000091000000}"/>
    <cellStyle name="Calcolo 2 2" xfId="3314" xr:uid="{00000000-0005-0000-0000-000092000000}"/>
    <cellStyle name="Calcolo 2 2 2" xfId="7507" xr:uid="{00000000-0005-0000-0000-000093000000}"/>
    <cellStyle name="Calcolo 2 2 3" xfId="7579" xr:uid="{00000000-0005-0000-0000-000094000000}"/>
    <cellStyle name="Calcolo 2 2 4" xfId="7635" xr:uid="{00000000-0005-0000-0000-000095000000}"/>
    <cellStyle name="Calcolo 2 3" xfId="7506" xr:uid="{00000000-0005-0000-0000-000096000000}"/>
    <cellStyle name="Calcolo 2 4" xfId="7578" xr:uid="{00000000-0005-0000-0000-000097000000}"/>
    <cellStyle name="Calcolo 2 5" xfId="7634" xr:uid="{00000000-0005-0000-0000-000098000000}"/>
    <cellStyle name="Calcolo 3" xfId="3315" xr:uid="{00000000-0005-0000-0000-000099000000}"/>
    <cellStyle name="Calcolo 3 2" xfId="7508" xr:uid="{00000000-0005-0000-0000-00009A000000}"/>
    <cellStyle name="Calcolo 3 3" xfId="7580" xr:uid="{00000000-0005-0000-0000-00009B000000}"/>
    <cellStyle name="Calcolo 3 4" xfId="7636" xr:uid="{00000000-0005-0000-0000-00009C000000}"/>
    <cellStyle name="Calcolo 4" xfId="7489" xr:uid="{00000000-0005-0000-0000-00009D000000}"/>
    <cellStyle name="Calcolo 5" xfId="7561" xr:uid="{00000000-0005-0000-0000-00009E000000}"/>
    <cellStyle name="Calcolo 6" xfId="7633" xr:uid="{00000000-0005-0000-0000-00009F000000}"/>
    <cellStyle name="Calculation 2" xfId="2015" xr:uid="{00000000-0005-0000-0000-0000A0000000}"/>
    <cellStyle name="Calculations" xfId="663" xr:uid="{00000000-0005-0000-0000-0000A1000000}"/>
    <cellStyle name="Cella collegata" xfId="32" xr:uid="{00000000-0005-0000-0000-0000A2000000}"/>
    <cellStyle name="Cella da controllare" xfId="33" xr:uid="{00000000-0005-0000-0000-0000A3000000}"/>
    <cellStyle name="Colore 1" xfId="34" xr:uid="{00000000-0005-0000-0000-0000A4000000}"/>
    <cellStyle name="Colore 2" xfId="35" xr:uid="{00000000-0005-0000-0000-0000A5000000}"/>
    <cellStyle name="Colore 3" xfId="36" xr:uid="{00000000-0005-0000-0000-0000A6000000}"/>
    <cellStyle name="Colore 4" xfId="37" xr:uid="{00000000-0005-0000-0000-0000A7000000}"/>
    <cellStyle name="Colore 5" xfId="38" xr:uid="{00000000-0005-0000-0000-0000A8000000}"/>
    <cellStyle name="Colore 6" xfId="39" xr:uid="{00000000-0005-0000-0000-0000A9000000}"/>
    <cellStyle name="Comma 2" xfId="438" xr:uid="{00000000-0005-0000-0000-0000AA000000}"/>
    <cellStyle name="Comma 2 2" xfId="665" xr:uid="{00000000-0005-0000-0000-0000AB000000}"/>
    <cellStyle name="Comma 2 2 2" xfId="666" xr:uid="{00000000-0005-0000-0000-0000AC000000}"/>
    <cellStyle name="Comma 2 2 2 2" xfId="2082" xr:uid="{00000000-0005-0000-0000-0000AD000000}"/>
    <cellStyle name="Comma 2 2 2 2 2" xfId="6388" xr:uid="{00000000-0005-0000-0000-0000AE000000}"/>
    <cellStyle name="Comma 2 2 2 3" xfId="6387" xr:uid="{00000000-0005-0000-0000-0000AF000000}"/>
    <cellStyle name="Comma 2 2 3" xfId="3316" xr:uid="{00000000-0005-0000-0000-0000B0000000}"/>
    <cellStyle name="Comma 2 2 3 2" xfId="6389" xr:uid="{00000000-0005-0000-0000-0000B1000000}"/>
    <cellStyle name="Comma 2 2 4" xfId="5513" xr:uid="{00000000-0005-0000-0000-0000B2000000}"/>
    <cellStyle name="Comma 2 3" xfId="667" xr:uid="{00000000-0005-0000-0000-0000B3000000}"/>
    <cellStyle name="Comma 2 3 2" xfId="668" xr:uid="{00000000-0005-0000-0000-0000B4000000}"/>
    <cellStyle name="Comma 2 3 2 2" xfId="3317" xr:uid="{00000000-0005-0000-0000-0000B5000000}"/>
    <cellStyle name="Comma 2 3 2 2 2" xfId="5516" xr:uid="{00000000-0005-0000-0000-0000B6000000}"/>
    <cellStyle name="Comma 2 3 2 2 3" xfId="6467" xr:uid="{00000000-0005-0000-0000-0000B7000000}"/>
    <cellStyle name="Comma 2 3 2 2 4" xfId="4494" xr:uid="{00000000-0005-0000-0000-0000B8000000}"/>
    <cellStyle name="Comma 2 3 2 3" xfId="3318" xr:uid="{00000000-0005-0000-0000-0000B9000000}"/>
    <cellStyle name="Comma 2 3 2 3 2" xfId="6390" xr:uid="{00000000-0005-0000-0000-0000BA000000}"/>
    <cellStyle name="Comma 2 3 2 4" xfId="5515" xr:uid="{00000000-0005-0000-0000-0000BB000000}"/>
    <cellStyle name="Comma 2 3 2 5" xfId="6466" xr:uid="{00000000-0005-0000-0000-0000BC000000}"/>
    <cellStyle name="Comma 2 3 2 6" xfId="4493" xr:uid="{00000000-0005-0000-0000-0000BD000000}"/>
    <cellStyle name="Comma 2 3 3" xfId="669" xr:uid="{00000000-0005-0000-0000-0000BE000000}"/>
    <cellStyle name="Comma 2 3 3 2" xfId="2084" xr:uid="{00000000-0005-0000-0000-0000BF000000}"/>
    <cellStyle name="Comma 2 3 3 2 2" xfId="6392" xr:uid="{00000000-0005-0000-0000-0000C0000000}"/>
    <cellStyle name="Comma 2 3 3 3" xfId="6391" xr:uid="{00000000-0005-0000-0000-0000C1000000}"/>
    <cellStyle name="Comma 2 3 4" xfId="2083" xr:uid="{00000000-0005-0000-0000-0000C2000000}"/>
    <cellStyle name="Comma 2 3 4 2" xfId="6393" xr:uid="{00000000-0005-0000-0000-0000C3000000}"/>
    <cellStyle name="Comma 2 3 5" xfId="3319" xr:uid="{00000000-0005-0000-0000-0000C4000000}"/>
    <cellStyle name="Comma 2 3 5 2" xfId="6394" xr:uid="{00000000-0005-0000-0000-0000C5000000}"/>
    <cellStyle name="Comma 2 3 6" xfId="5514" xr:uid="{00000000-0005-0000-0000-0000C6000000}"/>
    <cellStyle name="Comma 2 4" xfId="670" xr:uid="{00000000-0005-0000-0000-0000C7000000}"/>
    <cellStyle name="Comma 2 4 2" xfId="3320" xr:uid="{00000000-0005-0000-0000-0000C8000000}"/>
    <cellStyle name="Comma 2 4 2 2" xfId="6395" xr:uid="{00000000-0005-0000-0000-0000C9000000}"/>
    <cellStyle name="Comma 2 4 3" xfId="5517" xr:uid="{00000000-0005-0000-0000-0000CA000000}"/>
    <cellStyle name="Comma 2 5" xfId="671" xr:uid="{00000000-0005-0000-0000-0000CB000000}"/>
    <cellStyle name="Comma 2 5 2" xfId="6396" xr:uid="{00000000-0005-0000-0000-0000CC000000}"/>
    <cellStyle name="Comma 2 6" xfId="672" xr:uid="{00000000-0005-0000-0000-0000CD000000}"/>
    <cellStyle name="Comma 2 6 2" xfId="673" xr:uid="{00000000-0005-0000-0000-0000CE000000}"/>
    <cellStyle name="Comma 2 7" xfId="664" xr:uid="{00000000-0005-0000-0000-0000CF000000}"/>
    <cellStyle name="Comma 2 7 2" xfId="6397" xr:uid="{00000000-0005-0000-0000-0000D0000000}"/>
    <cellStyle name="Comma 2 8" xfId="3321" xr:uid="{00000000-0005-0000-0000-0000D1000000}"/>
    <cellStyle name="Comma 2 8 2" xfId="6398" xr:uid="{00000000-0005-0000-0000-0000D2000000}"/>
    <cellStyle name="Comma 2 8 3" xfId="7333" xr:uid="{00000000-0005-0000-0000-0000D3000000}"/>
    <cellStyle name="Comma 2 8 4" xfId="7466" xr:uid="{00000000-0005-0000-0000-0000D4000000}"/>
    <cellStyle name="Comma 2 9" xfId="5512" xr:uid="{00000000-0005-0000-0000-0000D5000000}"/>
    <cellStyle name="Comma 3" xfId="439" xr:uid="{00000000-0005-0000-0000-0000D6000000}"/>
    <cellStyle name="Comma 3 2" xfId="675" xr:uid="{00000000-0005-0000-0000-0000D7000000}"/>
    <cellStyle name="Comma 3 2 2" xfId="676" xr:uid="{00000000-0005-0000-0000-0000D8000000}"/>
    <cellStyle name="Comma 3 2 2 2" xfId="6400" xr:uid="{00000000-0005-0000-0000-0000D9000000}"/>
    <cellStyle name="Comma 3 2 3" xfId="6399" xr:uid="{00000000-0005-0000-0000-0000DA000000}"/>
    <cellStyle name="Comma 3 3" xfId="677" xr:uid="{00000000-0005-0000-0000-0000DB000000}"/>
    <cellStyle name="Comma 3 3 2" xfId="2086" xr:uid="{00000000-0005-0000-0000-0000DC000000}"/>
    <cellStyle name="Comma 3 3 2 2" xfId="6402" xr:uid="{00000000-0005-0000-0000-0000DD000000}"/>
    <cellStyle name="Comma 3 3 2 3" xfId="7346" xr:uid="{00000000-0005-0000-0000-0000DE000000}"/>
    <cellStyle name="Comma 3 3 2 4" xfId="7479" xr:uid="{00000000-0005-0000-0000-0000DF000000}"/>
    <cellStyle name="Comma 3 3 3" xfId="6401" xr:uid="{00000000-0005-0000-0000-0000E0000000}"/>
    <cellStyle name="Comma 3 3 4" xfId="7336" xr:uid="{00000000-0005-0000-0000-0000E1000000}"/>
    <cellStyle name="Comma 3 3 5" xfId="7469" xr:uid="{00000000-0005-0000-0000-0000E2000000}"/>
    <cellStyle name="Comma 3 4" xfId="2085" xr:uid="{00000000-0005-0000-0000-0000E3000000}"/>
    <cellStyle name="Comma 3 4 2" xfId="6403" xr:uid="{00000000-0005-0000-0000-0000E4000000}"/>
    <cellStyle name="Comma 3 5" xfId="674" xr:uid="{00000000-0005-0000-0000-0000E5000000}"/>
    <cellStyle name="Comma 3 5 2" xfId="6404" xr:uid="{00000000-0005-0000-0000-0000E6000000}"/>
    <cellStyle name="Comma 3 6" xfId="3322" xr:uid="{00000000-0005-0000-0000-0000E7000000}"/>
    <cellStyle name="Comma 3 6 2" xfId="6405" xr:uid="{00000000-0005-0000-0000-0000E8000000}"/>
    <cellStyle name="Comma 3 6 3" xfId="7334" xr:uid="{00000000-0005-0000-0000-0000E9000000}"/>
    <cellStyle name="Comma 3 6 4" xfId="7467" xr:uid="{00000000-0005-0000-0000-0000EA000000}"/>
    <cellStyle name="Comma 3 7" xfId="5518" xr:uid="{00000000-0005-0000-0000-0000EB000000}"/>
    <cellStyle name="Comma 4" xfId="678" xr:uid="{00000000-0005-0000-0000-0000EC000000}"/>
    <cellStyle name="Comma 4 2" xfId="679" xr:uid="{00000000-0005-0000-0000-0000ED000000}"/>
    <cellStyle name="Comma 4 2 2" xfId="680" xr:uid="{00000000-0005-0000-0000-0000EE000000}"/>
    <cellStyle name="Comma 4 2 2 2" xfId="6406" xr:uid="{00000000-0005-0000-0000-0000EF000000}"/>
    <cellStyle name="Comma 4 2 3" xfId="3323" xr:uid="{00000000-0005-0000-0000-0000F0000000}"/>
    <cellStyle name="Comma 4 2 3 2" xfId="6407" xr:uid="{00000000-0005-0000-0000-0000F1000000}"/>
    <cellStyle name="Comma 4 2 4" xfId="5520" xr:uid="{00000000-0005-0000-0000-0000F2000000}"/>
    <cellStyle name="Comma 4 2 5" xfId="6468" xr:uid="{00000000-0005-0000-0000-0000F3000000}"/>
    <cellStyle name="Comma 4 2 6" xfId="4495" xr:uid="{00000000-0005-0000-0000-0000F4000000}"/>
    <cellStyle name="Comma 4 3" xfId="681" xr:uid="{00000000-0005-0000-0000-0000F5000000}"/>
    <cellStyle name="Comma 4 3 2" xfId="2088" xr:uid="{00000000-0005-0000-0000-0000F6000000}"/>
    <cellStyle name="Comma 4 3 2 2" xfId="6409" xr:uid="{00000000-0005-0000-0000-0000F7000000}"/>
    <cellStyle name="Comma 4 3 2 3" xfId="7347" xr:uid="{00000000-0005-0000-0000-0000F8000000}"/>
    <cellStyle name="Comma 4 3 2 4" xfId="7480" xr:uid="{00000000-0005-0000-0000-0000F9000000}"/>
    <cellStyle name="Comma 4 3 3" xfId="6408" xr:uid="{00000000-0005-0000-0000-0000FA000000}"/>
    <cellStyle name="Comma 4 3 4" xfId="7337" xr:uid="{00000000-0005-0000-0000-0000FB000000}"/>
    <cellStyle name="Comma 4 3 5" xfId="7470" xr:uid="{00000000-0005-0000-0000-0000FC000000}"/>
    <cellStyle name="Comma 4 4" xfId="682" xr:uid="{00000000-0005-0000-0000-0000FD000000}"/>
    <cellStyle name="Comma 4 4 2" xfId="2089" xr:uid="{00000000-0005-0000-0000-0000FE000000}"/>
    <cellStyle name="Comma 4 4 2 2" xfId="6411" xr:uid="{00000000-0005-0000-0000-0000FF000000}"/>
    <cellStyle name="Comma 4 4 3" xfId="6410" xr:uid="{00000000-0005-0000-0000-000000010000}"/>
    <cellStyle name="Comma 4 5" xfId="2087" xr:uid="{00000000-0005-0000-0000-000001010000}"/>
    <cellStyle name="Comma 4 5 2" xfId="6412" xr:uid="{00000000-0005-0000-0000-000002010000}"/>
    <cellStyle name="Comma 4 6" xfId="3324" xr:uid="{00000000-0005-0000-0000-000003010000}"/>
    <cellStyle name="Comma 4 6 2" xfId="6413" xr:uid="{00000000-0005-0000-0000-000004010000}"/>
    <cellStyle name="Comma 4 7" xfId="5519" xr:uid="{00000000-0005-0000-0000-000005010000}"/>
    <cellStyle name="Comma 5" xfId="683" xr:uid="{00000000-0005-0000-0000-000006010000}"/>
    <cellStyle name="Comma 5 2" xfId="2090" xr:uid="{00000000-0005-0000-0000-000007010000}"/>
    <cellStyle name="Comma 5 2 2" xfId="6414" xr:uid="{00000000-0005-0000-0000-000008010000}"/>
    <cellStyle name="Comma 5 3" xfId="3325" xr:uid="{00000000-0005-0000-0000-000009010000}"/>
    <cellStyle name="Comma 5 3 2" xfId="6415" xr:uid="{00000000-0005-0000-0000-00000A010000}"/>
    <cellStyle name="Comma 5 4" xfId="5521" xr:uid="{00000000-0005-0000-0000-00000B010000}"/>
    <cellStyle name="Comma 5 5" xfId="4496" xr:uid="{00000000-0005-0000-0000-00000C010000}"/>
    <cellStyle name="Comma 6" xfId="684" xr:uid="{00000000-0005-0000-0000-00000D010000}"/>
    <cellStyle name="Comma 6 2" xfId="2091" xr:uid="{00000000-0005-0000-0000-00000E010000}"/>
    <cellStyle name="Comma 6 2 2" xfId="6416" xr:uid="{00000000-0005-0000-0000-00000F010000}"/>
    <cellStyle name="Comma 6 3" xfId="3326" xr:uid="{00000000-0005-0000-0000-000010010000}"/>
    <cellStyle name="Comma 6 3 2" xfId="6417" xr:uid="{00000000-0005-0000-0000-000011010000}"/>
    <cellStyle name="Comma 6 4" xfId="5522" xr:uid="{00000000-0005-0000-0000-000012010000}"/>
    <cellStyle name="Comma 7" xfId="2012" xr:uid="{00000000-0005-0000-0000-000013010000}"/>
    <cellStyle name="Comma 7 2" xfId="3268" xr:uid="{00000000-0005-0000-0000-000014010000}"/>
    <cellStyle name="Comma 7 2 2" xfId="6419" xr:uid="{00000000-0005-0000-0000-000015010000}"/>
    <cellStyle name="Comma 7 2 3" xfId="7355" xr:uid="{00000000-0005-0000-0000-000016010000}"/>
    <cellStyle name="Comma 7 2 4" xfId="7488" xr:uid="{00000000-0005-0000-0000-000017010000}"/>
    <cellStyle name="Comma 7 3" xfId="6418" xr:uid="{00000000-0005-0000-0000-000018010000}"/>
    <cellStyle name="Comma 7 4" xfId="7345" xr:uid="{00000000-0005-0000-0000-000019010000}"/>
    <cellStyle name="Comma 7 5" xfId="7478" xr:uid="{00000000-0005-0000-0000-00001A010000}"/>
    <cellStyle name="Comma 8" xfId="6386" xr:uid="{00000000-0005-0000-0000-00001B010000}"/>
    <cellStyle name="Comma0 - Type3" xfId="6" xr:uid="{00000000-0005-0000-0000-00001C010000}"/>
    <cellStyle name="CustomizationCells" xfId="685" xr:uid="{00000000-0005-0000-0000-00001D010000}"/>
    <cellStyle name="CustomizationCells 2" xfId="3327" xr:uid="{00000000-0005-0000-0000-00001E010000}"/>
    <cellStyle name="CustomizationCells 2 2" xfId="4498" xr:uid="{00000000-0005-0000-0000-00001F010000}"/>
    <cellStyle name="CustomizationCells 2 3" xfId="7509" xr:uid="{00000000-0005-0000-0000-000020010000}"/>
    <cellStyle name="CustomizationCells 2 4" xfId="7581" xr:uid="{00000000-0005-0000-0000-000021010000}"/>
    <cellStyle name="CustomizationCells 2 5" xfId="7638" xr:uid="{00000000-0005-0000-0000-000022010000}"/>
    <cellStyle name="CustomizationCells 3" xfId="4497" xr:uid="{00000000-0005-0000-0000-000023010000}"/>
    <cellStyle name="CustomizationCells 4" xfId="7493" xr:uid="{00000000-0005-0000-0000-000024010000}"/>
    <cellStyle name="CustomizationCells 5" xfId="7565" xr:uid="{00000000-0005-0000-0000-000025010000}"/>
    <cellStyle name="CustomizationCells 6" xfId="7637" xr:uid="{00000000-0005-0000-0000-000026010000}"/>
    <cellStyle name="Euro" xfId="40" xr:uid="{00000000-0005-0000-0000-000027010000}"/>
    <cellStyle name="Euro 10" xfId="41" xr:uid="{00000000-0005-0000-0000-000028010000}"/>
    <cellStyle name="Euro 10 2" xfId="446" xr:uid="{00000000-0005-0000-0000-000029010000}"/>
    <cellStyle name="Euro 10 2 2" xfId="2092" xr:uid="{00000000-0005-0000-0000-00002A010000}"/>
    <cellStyle name="Euro 10 3" xfId="686" xr:uid="{00000000-0005-0000-0000-00002B010000}"/>
    <cellStyle name="Euro 10 3 2" xfId="687" xr:uid="{00000000-0005-0000-0000-00002C010000}"/>
    <cellStyle name="Euro 10 3 2 2" xfId="3328" xr:uid="{00000000-0005-0000-0000-00002D010000}"/>
    <cellStyle name="Euro 10 3 2 3" xfId="4499" xr:uid="{00000000-0005-0000-0000-00002E010000}"/>
    <cellStyle name="Euro 10 3 3" xfId="688" xr:uid="{00000000-0005-0000-0000-00002F010000}"/>
    <cellStyle name="Euro 10 3 3 2" xfId="2094" xr:uid="{00000000-0005-0000-0000-000030010000}"/>
    <cellStyle name="Euro 10 3 4" xfId="2093" xr:uid="{00000000-0005-0000-0000-000031010000}"/>
    <cellStyle name="Euro 10 4" xfId="689" xr:uid="{00000000-0005-0000-0000-000032010000}"/>
    <cellStyle name="Euro 10 4 2" xfId="690" xr:uid="{00000000-0005-0000-0000-000033010000}"/>
    <cellStyle name="Euro 10 4 2 2" xfId="2096" xr:uid="{00000000-0005-0000-0000-000034010000}"/>
    <cellStyle name="Euro 10 4 3" xfId="2095" xr:uid="{00000000-0005-0000-0000-000035010000}"/>
    <cellStyle name="Euro 10 5" xfId="691" xr:uid="{00000000-0005-0000-0000-000036010000}"/>
    <cellStyle name="Euro 11" xfId="42" xr:uid="{00000000-0005-0000-0000-000037010000}"/>
    <cellStyle name="Euro 11 2" xfId="447" xr:uid="{00000000-0005-0000-0000-000038010000}"/>
    <cellStyle name="Euro 11 2 2" xfId="2097" xr:uid="{00000000-0005-0000-0000-000039010000}"/>
    <cellStyle name="Euro 11 3" xfId="692" xr:uid="{00000000-0005-0000-0000-00003A010000}"/>
    <cellStyle name="Euro 11 3 2" xfId="693" xr:uid="{00000000-0005-0000-0000-00003B010000}"/>
    <cellStyle name="Euro 11 3 2 2" xfId="3329" xr:uid="{00000000-0005-0000-0000-00003C010000}"/>
    <cellStyle name="Euro 11 3 2 3" xfId="4500" xr:uid="{00000000-0005-0000-0000-00003D010000}"/>
    <cellStyle name="Euro 11 3 3" xfId="694" xr:uid="{00000000-0005-0000-0000-00003E010000}"/>
    <cellStyle name="Euro 11 3 3 2" xfId="2099" xr:uid="{00000000-0005-0000-0000-00003F010000}"/>
    <cellStyle name="Euro 11 3 4" xfId="2098" xr:uid="{00000000-0005-0000-0000-000040010000}"/>
    <cellStyle name="Euro 11 4" xfId="695" xr:uid="{00000000-0005-0000-0000-000041010000}"/>
    <cellStyle name="Euro 11 4 2" xfId="696" xr:uid="{00000000-0005-0000-0000-000042010000}"/>
    <cellStyle name="Euro 11 4 2 2" xfId="2101" xr:uid="{00000000-0005-0000-0000-000043010000}"/>
    <cellStyle name="Euro 11 4 3" xfId="2100" xr:uid="{00000000-0005-0000-0000-000044010000}"/>
    <cellStyle name="Euro 11 5" xfId="697" xr:uid="{00000000-0005-0000-0000-000045010000}"/>
    <cellStyle name="Euro 12" xfId="43" xr:uid="{00000000-0005-0000-0000-000046010000}"/>
    <cellStyle name="Euro 12 2" xfId="448" xr:uid="{00000000-0005-0000-0000-000047010000}"/>
    <cellStyle name="Euro 12 2 2" xfId="2102" xr:uid="{00000000-0005-0000-0000-000048010000}"/>
    <cellStyle name="Euro 12 3" xfId="698" xr:uid="{00000000-0005-0000-0000-000049010000}"/>
    <cellStyle name="Euro 12 3 2" xfId="699" xr:uid="{00000000-0005-0000-0000-00004A010000}"/>
    <cellStyle name="Euro 12 3 2 2" xfId="3330" xr:uid="{00000000-0005-0000-0000-00004B010000}"/>
    <cellStyle name="Euro 12 3 2 3" xfId="4501" xr:uid="{00000000-0005-0000-0000-00004C010000}"/>
    <cellStyle name="Euro 12 3 3" xfId="700" xr:uid="{00000000-0005-0000-0000-00004D010000}"/>
    <cellStyle name="Euro 12 3 3 2" xfId="2104" xr:uid="{00000000-0005-0000-0000-00004E010000}"/>
    <cellStyle name="Euro 12 3 4" xfId="2103" xr:uid="{00000000-0005-0000-0000-00004F010000}"/>
    <cellStyle name="Euro 12 4" xfId="701" xr:uid="{00000000-0005-0000-0000-000050010000}"/>
    <cellStyle name="Euro 12 4 2" xfId="702" xr:uid="{00000000-0005-0000-0000-000051010000}"/>
    <cellStyle name="Euro 12 4 2 2" xfId="2106" xr:uid="{00000000-0005-0000-0000-000052010000}"/>
    <cellStyle name="Euro 12 4 3" xfId="2105" xr:uid="{00000000-0005-0000-0000-000053010000}"/>
    <cellStyle name="Euro 12 5" xfId="703" xr:uid="{00000000-0005-0000-0000-000054010000}"/>
    <cellStyle name="Euro 13" xfId="44" xr:uid="{00000000-0005-0000-0000-000055010000}"/>
    <cellStyle name="Euro 13 2" xfId="449" xr:uid="{00000000-0005-0000-0000-000056010000}"/>
    <cellStyle name="Euro 13 2 2" xfId="2107" xr:uid="{00000000-0005-0000-0000-000057010000}"/>
    <cellStyle name="Euro 13 3" xfId="704" xr:uid="{00000000-0005-0000-0000-000058010000}"/>
    <cellStyle name="Euro 13 3 2" xfId="705" xr:uid="{00000000-0005-0000-0000-000059010000}"/>
    <cellStyle name="Euro 13 3 2 2" xfId="3331" xr:uid="{00000000-0005-0000-0000-00005A010000}"/>
    <cellStyle name="Euro 13 3 2 3" xfId="4502" xr:uid="{00000000-0005-0000-0000-00005B010000}"/>
    <cellStyle name="Euro 13 3 3" xfId="706" xr:uid="{00000000-0005-0000-0000-00005C010000}"/>
    <cellStyle name="Euro 13 3 3 2" xfId="2109" xr:uid="{00000000-0005-0000-0000-00005D010000}"/>
    <cellStyle name="Euro 13 3 4" xfId="2108" xr:uid="{00000000-0005-0000-0000-00005E010000}"/>
    <cellStyle name="Euro 13 4" xfId="707" xr:uid="{00000000-0005-0000-0000-00005F010000}"/>
    <cellStyle name="Euro 13 4 2" xfId="708" xr:uid="{00000000-0005-0000-0000-000060010000}"/>
    <cellStyle name="Euro 13 4 2 2" xfId="2111" xr:uid="{00000000-0005-0000-0000-000061010000}"/>
    <cellStyle name="Euro 13 4 3" xfId="2110" xr:uid="{00000000-0005-0000-0000-000062010000}"/>
    <cellStyle name="Euro 13 5" xfId="709" xr:uid="{00000000-0005-0000-0000-000063010000}"/>
    <cellStyle name="Euro 14" xfId="45" xr:uid="{00000000-0005-0000-0000-000064010000}"/>
    <cellStyle name="Euro 14 2" xfId="450" xr:uid="{00000000-0005-0000-0000-000065010000}"/>
    <cellStyle name="Euro 14 2 2" xfId="2112" xr:uid="{00000000-0005-0000-0000-000066010000}"/>
    <cellStyle name="Euro 14 3" xfId="710" xr:uid="{00000000-0005-0000-0000-000067010000}"/>
    <cellStyle name="Euro 14 3 2" xfId="711" xr:uid="{00000000-0005-0000-0000-000068010000}"/>
    <cellStyle name="Euro 14 3 2 2" xfId="3332" xr:uid="{00000000-0005-0000-0000-000069010000}"/>
    <cellStyle name="Euro 14 3 2 3" xfId="4503" xr:uid="{00000000-0005-0000-0000-00006A010000}"/>
    <cellStyle name="Euro 14 3 3" xfId="712" xr:uid="{00000000-0005-0000-0000-00006B010000}"/>
    <cellStyle name="Euro 14 3 3 2" xfId="2114" xr:uid="{00000000-0005-0000-0000-00006C010000}"/>
    <cellStyle name="Euro 14 3 4" xfId="2113" xr:uid="{00000000-0005-0000-0000-00006D010000}"/>
    <cellStyle name="Euro 14 4" xfId="713" xr:uid="{00000000-0005-0000-0000-00006E010000}"/>
    <cellStyle name="Euro 14 4 2" xfId="714" xr:uid="{00000000-0005-0000-0000-00006F010000}"/>
    <cellStyle name="Euro 14 4 2 2" xfId="2116" xr:uid="{00000000-0005-0000-0000-000070010000}"/>
    <cellStyle name="Euro 14 4 3" xfId="2115" xr:uid="{00000000-0005-0000-0000-000071010000}"/>
    <cellStyle name="Euro 14 5" xfId="715" xr:uid="{00000000-0005-0000-0000-000072010000}"/>
    <cellStyle name="Euro 15" xfId="46" xr:uid="{00000000-0005-0000-0000-000073010000}"/>
    <cellStyle name="Euro 15 2" xfId="451" xr:uid="{00000000-0005-0000-0000-000074010000}"/>
    <cellStyle name="Euro 15 2 2" xfId="2117" xr:uid="{00000000-0005-0000-0000-000075010000}"/>
    <cellStyle name="Euro 15 3" xfId="716" xr:uid="{00000000-0005-0000-0000-000076010000}"/>
    <cellStyle name="Euro 15 3 2" xfId="717" xr:uid="{00000000-0005-0000-0000-000077010000}"/>
    <cellStyle name="Euro 15 3 2 2" xfId="3333" xr:uid="{00000000-0005-0000-0000-000078010000}"/>
    <cellStyle name="Euro 15 3 2 3" xfId="4504" xr:uid="{00000000-0005-0000-0000-000079010000}"/>
    <cellStyle name="Euro 15 3 3" xfId="718" xr:uid="{00000000-0005-0000-0000-00007A010000}"/>
    <cellStyle name="Euro 15 3 3 2" xfId="2119" xr:uid="{00000000-0005-0000-0000-00007B010000}"/>
    <cellStyle name="Euro 15 3 4" xfId="2118" xr:uid="{00000000-0005-0000-0000-00007C010000}"/>
    <cellStyle name="Euro 15 4" xfId="719" xr:uid="{00000000-0005-0000-0000-00007D010000}"/>
    <cellStyle name="Euro 15 4 2" xfId="720" xr:uid="{00000000-0005-0000-0000-00007E010000}"/>
    <cellStyle name="Euro 15 4 2 2" xfId="2121" xr:uid="{00000000-0005-0000-0000-00007F010000}"/>
    <cellStyle name="Euro 15 4 3" xfId="2120" xr:uid="{00000000-0005-0000-0000-000080010000}"/>
    <cellStyle name="Euro 15 5" xfId="721" xr:uid="{00000000-0005-0000-0000-000081010000}"/>
    <cellStyle name="Euro 16" xfId="47" xr:uid="{00000000-0005-0000-0000-000082010000}"/>
    <cellStyle name="Euro 16 2" xfId="452" xr:uid="{00000000-0005-0000-0000-000083010000}"/>
    <cellStyle name="Euro 16 2 2" xfId="2122" xr:uid="{00000000-0005-0000-0000-000084010000}"/>
    <cellStyle name="Euro 16 3" xfId="722" xr:uid="{00000000-0005-0000-0000-000085010000}"/>
    <cellStyle name="Euro 16 3 2" xfId="723" xr:uid="{00000000-0005-0000-0000-000086010000}"/>
    <cellStyle name="Euro 16 3 2 2" xfId="3334" xr:uid="{00000000-0005-0000-0000-000087010000}"/>
    <cellStyle name="Euro 16 3 2 3" xfId="4505" xr:uid="{00000000-0005-0000-0000-000088010000}"/>
    <cellStyle name="Euro 16 3 3" xfId="724" xr:uid="{00000000-0005-0000-0000-000089010000}"/>
    <cellStyle name="Euro 16 3 3 2" xfId="2124" xr:uid="{00000000-0005-0000-0000-00008A010000}"/>
    <cellStyle name="Euro 16 3 4" xfId="2123" xr:uid="{00000000-0005-0000-0000-00008B010000}"/>
    <cellStyle name="Euro 16 4" xfId="725" xr:uid="{00000000-0005-0000-0000-00008C010000}"/>
    <cellStyle name="Euro 16 4 2" xfId="726" xr:uid="{00000000-0005-0000-0000-00008D010000}"/>
    <cellStyle name="Euro 16 4 2 2" xfId="2126" xr:uid="{00000000-0005-0000-0000-00008E010000}"/>
    <cellStyle name="Euro 16 4 3" xfId="2125" xr:uid="{00000000-0005-0000-0000-00008F010000}"/>
    <cellStyle name="Euro 16 5" xfId="727" xr:uid="{00000000-0005-0000-0000-000090010000}"/>
    <cellStyle name="Euro 17" xfId="48" xr:uid="{00000000-0005-0000-0000-000091010000}"/>
    <cellStyle name="Euro 17 2" xfId="453" xr:uid="{00000000-0005-0000-0000-000092010000}"/>
    <cellStyle name="Euro 17 2 2" xfId="2127" xr:uid="{00000000-0005-0000-0000-000093010000}"/>
    <cellStyle name="Euro 17 3" xfId="728" xr:uid="{00000000-0005-0000-0000-000094010000}"/>
    <cellStyle name="Euro 17 3 2" xfId="729" xr:uid="{00000000-0005-0000-0000-000095010000}"/>
    <cellStyle name="Euro 17 3 2 2" xfId="3335" xr:uid="{00000000-0005-0000-0000-000096010000}"/>
    <cellStyle name="Euro 17 3 2 3" xfId="4506" xr:uid="{00000000-0005-0000-0000-000097010000}"/>
    <cellStyle name="Euro 17 3 3" xfId="730" xr:uid="{00000000-0005-0000-0000-000098010000}"/>
    <cellStyle name="Euro 17 3 3 2" xfId="2129" xr:uid="{00000000-0005-0000-0000-000099010000}"/>
    <cellStyle name="Euro 17 3 4" xfId="2128" xr:uid="{00000000-0005-0000-0000-00009A010000}"/>
    <cellStyle name="Euro 17 4" xfId="731" xr:uid="{00000000-0005-0000-0000-00009B010000}"/>
    <cellStyle name="Euro 17 4 2" xfId="732" xr:uid="{00000000-0005-0000-0000-00009C010000}"/>
    <cellStyle name="Euro 17 4 2 2" xfId="2131" xr:uid="{00000000-0005-0000-0000-00009D010000}"/>
    <cellStyle name="Euro 17 4 3" xfId="2130" xr:uid="{00000000-0005-0000-0000-00009E010000}"/>
    <cellStyle name="Euro 17 5" xfId="733" xr:uid="{00000000-0005-0000-0000-00009F010000}"/>
    <cellStyle name="Euro 18" xfId="49" xr:uid="{00000000-0005-0000-0000-0000A0010000}"/>
    <cellStyle name="Euro 18 2" xfId="454" xr:uid="{00000000-0005-0000-0000-0000A1010000}"/>
    <cellStyle name="Euro 18 2 2" xfId="2132" xr:uid="{00000000-0005-0000-0000-0000A2010000}"/>
    <cellStyle name="Euro 18 3" xfId="734" xr:uid="{00000000-0005-0000-0000-0000A3010000}"/>
    <cellStyle name="Euro 18 3 2" xfId="735" xr:uid="{00000000-0005-0000-0000-0000A4010000}"/>
    <cellStyle name="Euro 18 3 2 2" xfId="3336" xr:uid="{00000000-0005-0000-0000-0000A5010000}"/>
    <cellStyle name="Euro 18 3 2 3" xfId="4507" xr:uid="{00000000-0005-0000-0000-0000A6010000}"/>
    <cellStyle name="Euro 18 3 3" xfId="736" xr:uid="{00000000-0005-0000-0000-0000A7010000}"/>
    <cellStyle name="Euro 18 3 3 2" xfId="2134" xr:uid="{00000000-0005-0000-0000-0000A8010000}"/>
    <cellStyle name="Euro 18 3 4" xfId="2133" xr:uid="{00000000-0005-0000-0000-0000A9010000}"/>
    <cellStyle name="Euro 18 4" xfId="737" xr:uid="{00000000-0005-0000-0000-0000AA010000}"/>
    <cellStyle name="Euro 18 4 2" xfId="738" xr:uid="{00000000-0005-0000-0000-0000AB010000}"/>
    <cellStyle name="Euro 18 4 2 2" xfId="2136" xr:uid="{00000000-0005-0000-0000-0000AC010000}"/>
    <cellStyle name="Euro 18 4 3" xfId="2135" xr:uid="{00000000-0005-0000-0000-0000AD010000}"/>
    <cellStyle name="Euro 18 5" xfId="739" xr:uid="{00000000-0005-0000-0000-0000AE010000}"/>
    <cellStyle name="Euro 19" xfId="50" xr:uid="{00000000-0005-0000-0000-0000AF010000}"/>
    <cellStyle name="Euro 19 2" xfId="455" xr:uid="{00000000-0005-0000-0000-0000B0010000}"/>
    <cellStyle name="Euro 19 2 2" xfId="2137" xr:uid="{00000000-0005-0000-0000-0000B1010000}"/>
    <cellStyle name="Euro 19 3" xfId="740" xr:uid="{00000000-0005-0000-0000-0000B2010000}"/>
    <cellStyle name="Euro 19 3 2" xfId="741" xr:uid="{00000000-0005-0000-0000-0000B3010000}"/>
    <cellStyle name="Euro 19 3 2 2" xfId="3337" xr:uid="{00000000-0005-0000-0000-0000B4010000}"/>
    <cellStyle name="Euro 19 3 2 3" xfId="4508" xr:uid="{00000000-0005-0000-0000-0000B5010000}"/>
    <cellStyle name="Euro 19 3 3" xfId="742" xr:uid="{00000000-0005-0000-0000-0000B6010000}"/>
    <cellStyle name="Euro 19 3 3 2" xfId="2139" xr:uid="{00000000-0005-0000-0000-0000B7010000}"/>
    <cellStyle name="Euro 19 3 4" xfId="2138" xr:uid="{00000000-0005-0000-0000-0000B8010000}"/>
    <cellStyle name="Euro 19 4" xfId="743" xr:uid="{00000000-0005-0000-0000-0000B9010000}"/>
    <cellStyle name="Euro 19 4 2" xfId="744" xr:uid="{00000000-0005-0000-0000-0000BA010000}"/>
    <cellStyle name="Euro 19 4 2 2" xfId="2141" xr:uid="{00000000-0005-0000-0000-0000BB010000}"/>
    <cellStyle name="Euro 19 4 3" xfId="2140" xr:uid="{00000000-0005-0000-0000-0000BC010000}"/>
    <cellStyle name="Euro 19 5" xfId="745" xr:uid="{00000000-0005-0000-0000-0000BD010000}"/>
    <cellStyle name="Euro 2" xfId="51" xr:uid="{00000000-0005-0000-0000-0000BE010000}"/>
    <cellStyle name="Euro 2 2" xfId="456" xr:uid="{00000000-0005-0000-0000-0000BF010000}"/>
    <cellStyle name="Euro 2 2 2" xfId="2142" xr:uid="{00000000-0005-0000-0000-0000C0010000}"/>
    <cellStyle name="Euro 2 3" xfId="746" xr:uid="{00000000-0005-0000-0000-0000C1010000}"/>
    <cellStyle name="Euro 2 3 2" xfId="747" xr:uid="{00000000-0005-0000-0000-0000C2010000}"/>
    <cellStyle name="Euro 2 3 2 2" xfId="3338" xr:uid="{00000000-0005-0000-0000-0000C3010000}"/>
    <cellStyle name="Euro 2 3 2 3" xfId="4509" xr:uid="{00000000-0005-0000-0000-0000C4010000}"/>
    <cellStyle name="Euro 2 3 3" xfId="748" xr:uid="{00000000-0005-0000-0000-0000C5010000}"/>
    <cellStyle name="Euro 2 3 3 2" xfId="2144" xr:uid="{00000000-0005-0000-0000-0000C6010000}"/>
    <cellStyle name="Euro 2 3 4" xfId="2143" xr:uid="{00000000-0005-0000-0000-0000C7010000}"/>
    <cellStyle name="Euro 2 4" xfId="749" xr:uid="{00000000-0005-0000-0000-0000C8010000}"/>
    <cellStyle name="Euro 2 4 2" xfId="750" xr:uid="{00000000-0005-0000-0000-0000C9010000}"/>
    <cellStyle name="Euro 2 4 2 2" xfId="2146" xr:uid="{00000000-0005-0000-0000-0000CA010000}"/>
    <cellStyle name="Euro 2 4 3" xfId="2145" xr:uid="{00000000-0005-0000-0000-0000CB010000}"/>
    <cellStyle name="Euro 2 5" xfId="751" xr:uid="{00000000-0005-0000-0000-0000CC010000}"/>
    <cellStyle name="Euro 20" xfId="52" xr:uid="{00000000-0005-0000-0000-0000CD010000}"/>
    <cellStyle name="Euro 20 2" xfId="457" xr:uid="{00000000-0005-0000-0000-0000CE010000}"/>
    <cellStyle name="Euro 20 2 2" xfId="2147" xr:uid="{00000000-0005-0000-0000-0000CF010000}"/>
    <cellStyle name="Euro 20 3" xfId="752" xr:uid="{00000000-0005-0000-0000-0000D0010000}"/>
    <cellStyle name="Euro 20 3 2" xfId="753" xr:uid="{00000000-0005-0000-0000-0000D1010000}"/>
    <cellStyle name="Euro 20 3 2 2" xfId="3339" xr:uid="{00000000-0005-0000-0000-0000D2010000}"/>
    <cellStyle name="Euro 20 3 2 3" xfId="4510" xr:uid="{00000000-0005-0000-0000-0000D3010000}"/>
    <cellStyle name="Euro 20 3 3" xfId="754" xr:uid="{00000000-0005-0000-0000-0000D4010000}"/>
    <cellStyle name="Euro 20 3 3 2" xfId="2149" xr:uid="{00000000-0005-0000-0000-0000D5010000}"/>
    <cellStyle name="Euro 20 3 4" xfId="2148" xr:uid="{00000000-0005-0000-0000-0000D6010000}"/>
    <cellStyle name="Euro 20 4" xfId="755" xr:uid="{00000000-0005-0000-0000-0000D7010000}"/>
    <cellStyle name="Euro 20 4 2" xfId="756" xr:uid="{00000000-0005-0000-0000-0000D8010000}"/>
    <cellStyle name="Euro 20 4 2 2" xfId="2151" xr:uid="{00000000-0005-0000-0000-0000D9010000}"/>
    <cellStyle name="Euro 20 4 3" xfId="2150" xr:uid="{00000000-0005-0000-0000-0000DA010000}"/>
    <cellStyle name="Euro 20 5" xfId="757" xr:uid="{00000000-0005-0000-0000-0000DB010000}"/>
    <cellStyle name="Euro 21" xfId="53" xr:uid="{00000000-0005-0000-0000-0000DC010000}"/>
    <cellStyle name="Euro 21 2" xfId="458" xr:uid="{00000000-0005-0000-0000-0000DD010000}"/>
    <cellStyle name="Euro 21 2 2" xfId="2152" xr:uid="{00000000-0005-0000-0000-0000DE010000}"/>
    <cellStyle name="Euro 21 3" xfId="758" xr:uid="{00000000-0005-0000-0000-0000DF010000}"/>
    <cellStyle name="Euro 21 3 2" xfId="759" xr:uid="{00000000-0005-0000-0000-0000E0010000}"/>
    <cellStyle name="Euro 21 3 2 2" xfId="3340" xr:uid="{00000000-0005-0000-0000-0000E1010000}"/>
    <cellStyle name="Euro 21 3 2 3" xfId="4511" xr:uid="{00000000-0005-0000-0000-0000E2010000}"/>
    <cellStyle name="Euro 21 3 3" xfId="760" xr:uid="{00000000-0005-0000-0000-0000E3010000}"/>
    <cellStyle name="Euro 21 3 3 2" xfId="2154" xr:uid="{00000000-0005-0000-0000-0000E4010000}"/>
    <cellStyle name="Euro 21 3 4" xfId="2153" xr:uid="{00000000-0005-0000-0000-0000E5010000}"/>
    <cellStyle name="Euro 21 4" xfId="761" xr:uid="{00000000-0005-0000-0000-0000E6010000}"/>
    <cellStyle name="Euro 21 4 2" xfId="762" xr:uid="{00000000-0005-0000-0000-0000E7010000}"/>
    <cellStyle name="Euro 21 4 2 2" xfId="2156" xr:uid="{00000000-0005-0000-0000-0000E8010000}"/>
    <cellStyle name="Euro 21 4 3" xfId="2155" xr:uid="{00000000-0005-0000-0000-0000E9010000}"/>
    <cellStyle name="Euro 21 5" xfId="763" xr:uid="{00000000-0005-0000-0000-0000EA010000}"/>
    <cellStyle name="Euro 22" xfId="54" xr:uid="{00000000-0005-0000-0000-0000EB010000}"/>
    <cellStyle name="Euro 22 2" xfId="459" xr:uid="{00000000-0005-0000-0000-0000EC010000}"/>
    <cellStyle name="Euro 22 2 2" xfId="2157" xr:uid="{00000000-0005-0000-0000-0000ED010000}"/>
    <cellStyle name="Euro 22 3" xfId="764" xr:uid="{00000000-0005-0000-0000-0000EE010000}"/>
    <cellStyle name="Euro 22 3 2" xfId="765" xr:uid="{00000000-0005-0000-0000-0000EF010000}"/>
    <cellStyle name="Euro 22 3 2 2" xfId="3341" xr:uid="{00000000-0005-0000-0000-0000F0010000}"/>
    <cellStyle name="Euro 22 3 2 3" xfId="4512" xr:uid="{00000000-0005-0000-0000-0000F1010000}"/>
    <cellStyle name="Euro 22 3 3" xfId="766" xr:uid="{00000000-0005-0000-0000-0000F2010000}"/>
    <cellStyle name="Euro 22 3 3 2" xfId="2159" xr:uid="{00000000-0005-0000-0000-0000F3010000}"/>
    <cellStyle name="Euro 22 3 4" xfId="2158" xr:uid="{00000000-0005-0000-0000-0000F4010000}"/>
    <cellStyle name="Euro 22 4" xfId="767" xr:uid="{00000000-0005-0000-0000-0000F5010000}"/>
    <cellStyle name="Euro 22 4 2" xfId="768" xr:uid="{00000000-0005-0000-0000-0000F6010000}"/>
    <cellStyle name="Euro 22 4 2 2" xfId="2161" xr:uid="{00000000-0005-0000-0000-0000F7010000}"/>
    <cellStyle name="Euro 22 4 3" xfId="2160" xr:uid="{00000000-0005-0000-0000-0000F8010000}"/>
    <cellStyle name="Euro 22 5" xfId="769" xr:uid="{00000000-0005-0000-0000-0000F9010000}"/>
    <cellStyle name="Euro 23" xfId="55" xr:uid="{00000000-0005-0000-0000-0000FA010000}"/>
    <cellStyle name="Euro 23 2" xfId="460" xr:uid="{00000000-0005-0000-0000-0000FB010000}"/>
    <cellStyle name="Euro 23 2 2" xfId="2162" xr:uid="{00000000-0005-0000-0000-0000FC010000}"/>
    <cellStyle name="Euro 23 3" xfId="770" xr:uid="{00000000-0005-0000-0000-0000FD010000}"/>
    <cellStyle name="Euro 23 3 2" xfId="771" xr:uid="{00000000-0005-0000-0000-0000FE010000}"/>
    <cellStyle name="Euro 23 3 2 2" xfId="3342" xr:uid="{00000000-0005-0000-0000-0000FF010000}"/>
    <cellStyle name="Euro 23 3 2 3" xfId="4513" xr:uid="{00000000-0005-0000-0000-000000020000}"/>
    <cellStyle name="Euro 23 3 3" xfId="772" xr:uid="{00000000-0005-0000-0000-000001020000}"/>
    <cellStyle name="Euro 23 3 3 2" xfId="2164" xr:uid="{00000000-0005-0000-0000-000002020000}"/>
    <cellStyle name="Euro 23 3 4" xfId="2163" xr:uid="{00000000-0005-0000-0000-000003020000}"/>
    <cellStyle name="Euro 23 4" xfId="773" xr:uid="{00000000-0005-0000-0000-000004020000}"/>
    <cellStyle name="Euro 23 4 2" xfId="774" xr:uid="{00000000-0005-0000-0000-000005020000}"/>
    <cellStyle name="Euro 23 4 2 2" xfId="2166" xr:uid="{00000000-0005-0000-0000-000006020000}"/>
    <cellStyle name="Euro 23 4 3" xfId="2165" xr:uid="{00000000-0005-0000-0000-000007020000}"/>
    <cellStyle name="Euro 23 5" xfId="775" xr:uid="{00000000-0005-0000-0000-000008020000}"/>
    <cellStyle name="Euro 24" xfId="56" xr:uid="{00000000-0005-0000-0000-000009020000}"/>
    <cellStyle name="Euro 24 2" xfId="461" xr:uid="{00000000-0005-0000-0000-00000A020000}"/>
    <cellStyle name="Euro 24 2 2" xfId="2167" xr:uid="{00000000-0005-0000-0000-00000B020000}"/>
    <cellStyle name="Euro 24 3" xfId="776" xr:uid="{00000000-0005-0000-0000-00000C020000}"/>
    <cellStyle name="Euro 24 3 2" xfId="777" xr:uid="{00000000-0005-0000-0000-00000D020000}"/>
    <cellStyle name="Euro 24 3 2 2" xfId="3343" xr:uid="{00000000-0005-0000-0000-00000E020000}"/>
    <cellStyle name="Euro 24 3 2 3" xfId="4514" xr:uid="{00000000-0005-0000-0000-00000F020000}"/>
    <cellStyle name="Euro 24 3 3" xfId="778" xr:uid="{00000000-0005-0000-0000-000010020000}"/>
    <cellStyle name="Euro 24 3 3 2" xfId="2169" xr:uid="{00000000-0005-0000-0000-000011020000}"/>
    <cellStyle name="Euro 24 3 4" xfId="2168" xr:uid="{00000000-0005-0000-0000-000012020000}"/>
    <cellStyle name="Euro 24 4" xfId="779" xr:uid="{00000000-0005-0000-0000-000013020000}"/>
    <cellStyle name="Euro 24 4 2" xfId="780" xr:uid="{00000000-0005-0000-0000-000014020000}"/>
    <cellStyle name="Euro 24 4 2 2" xfId="2171" xr:uid="{00000000-0005-0000-0000-000015020000}"/>
    <cellStyle name="Euro 24 4 3" xfId="2170" xr:uid="{00000000-0005-0000-0000-000016020000}"/>
    <cellStyle name="Euro 24 5" xfId="781" xr:uid="{00000000-0005-0000-0000-000017020000}"/>
    <cellStyle name="Euro 25" xfId="57" xr:uid="{00000000-0005-0000-0000-000018020000}"/>
    <cellStyle name="Euro 25 2" xfId="462" xr:uid="{00000000-0005-0000-0000-000019020000}"/>
    <cellStyle name="Euro 25 2 2" xfId="2172" xr:uid="{00000000-0005-0000-0000-00001A020000}"/>
    <cellStyle name="Euro 25 3" xfId="782" xr:uid="{00000000-0005-0000-0000-00001B020000}"/>
    <cellStyle name="Euro 25 3 2" xfId="783" xr:uid="{00000000-0005-0000-0000-00001C020000}"/>
    <cellStyle name="Euro 25 3 2 2" xfId="3344" xr:uid="{00000000-0005-0000-0000-00001D020000}"/>
    <cellStyle name="Euro 25 3 2 3" xfId="4515" xr:uid="{00000000-0005-0000-0000-00001E020000}"/>
    <cellStyle name="Euro 25 3 3" xfId="784" xr:uid="{00000000-0005-0000-0000-00001F020000}"/>
    <cellStyle name="Euro 25 3 3 2" xfId="2174" xr:uid="{00000000-0005-0000-0000-000020020000}"/>
    <cellStyle name="Euro 25 3 4" xfId="2173" xr:uid="{00000000-0005-0000-0000-000021020000}"/>
    <cellStyle name="Euro 25 4" xfId="785" xr:uid="{00000000-0005-0000-0000-000022020000}"/>
    <cellStyle name="Euro 25 4 2" xfId="786" xr:uid="{00000000-0005-0000-0000-000023020000}"/>
    <cellStyle name="Euro 25 4 2 2" xfId="2176" xr:uid="{00000000-0005-0000-0000-000024020000}"/>
    <cellStyle name="Euro 25 4 3" xfId="2175" xr:uid="{00000000-0005-0000-0000-000025020000}"/>
    <cellStyle name="Euro 25 5" xfId="787" xr:uid="{00000000-0005-0000-0000-000026020000}"/>
    <cellStyle name="Euro 26" xfId="58" xr:uid="{00000000-0005-0000-0000-000027020000}"/>
    <cellStyle name="Euro 26 2" xfId="463" xr:uid="{00000000-0005-0000-0000-000028020000}"/>
    <cellStyle name="Euro 26 2 2" xfId="2177" xr:uid="{00000000-0005-0000-0000-000029020000}"/>
    <cellStyle name="Euro 26 3" xfId="788" xr:uid="{00000000-0005-0000-0000-00002A020000}"/>
    <cellStyle name="Euro 26 3 2" xfId="789" xr:uid="{00000000-0005-0000-0000-00002B020000}"/>
    <cellStyle name="Euro 26 3 2 2" xfId="3345" xr:uid="{00000000-0005-0000-0000-00002C020000}"/>
    <cellStyle name="Euro 26 3 2 3" xfId="4516" xr:uid="{00000000-0005-0000-0000-00002D020000}"/>
    <cellStyle name="Euro 26 3 3" xfId="790" xr:uid="{00000000-0005-0000-0000-00002E020000}"/>
    <cellStyle name="Euro 26 3 3 2" xfId="2179" xr:uid="{00000000-0005-0000-0000-00002F020000}"/>
    <cellStyle name="Euro 26 3 4" xfId="2178" xr:uid="{00000000-0005-0000-0000-000030020000}"/>
    <cellStyle name="Euro 26 4" xfId="791" xr:uid="{00000000-0005-0000-0000-000031020000}"/>
    <cellStyle name="Euro 26 4 2" xfId="792" xr:uid="{00000000-0005-0000-0000-000032020000}"/>
    <cellStyle name="Euro 26 4 2 2" xfId="2181" xr:uid="{00000000-0005-0000-0000-000033020000}"/>
    <cellStyle name="Euro 26 4 3" xfId="2180" xr:uid="{00000000-0005-0000-0000-000034020000}"/>
    <cellStyle name="Euro 26 5" xfId="793" xr:uid="{00000000-0005-0000-0000-000035020000}"/>
    <cellStyle name="Euro 27" xfId="59" xr:uid="{00000000-0005-0000-0000-000036020000}"/>
    <cellStyle name="Euro 27 2" xfId="464" xr:uid="{00000000-0005-0000-0000-000037020000}"/>
    <cellStyle name="Euro 27 2 2" xfId="2182" xr:uid="{00000000-0005-0000-0000-000038020000}"/>
    <cellStyle name="Euro 27 3" xfId="794" xr:uid="{00000000-0005-0000-0000-000039020000}"/>
    <cellStyle name="Euro 27 3 2" xfId="795" xr:uid="{00000000-0005-0000-0000-00003A020000}"/>
    <cellStyle name="Euro 27 3 2 2" xfId="3346" xr:uid="{00000000-0005-0000-0000-00003B020000}"/>
    <cellStyle name="Euro 27 3 2 3" xfId="4517" xr:uid="{00000000-0005-0000-0000-00003C020000}"/>
    <cellStyle name="Euro 27 3 3" xfId="796" xr:uid="{00000000-0005-0000-0000-00003D020000}"/>
    <cellStyle name="Euro 27 3 3 2" xfId="2184" xr:uid="{00000000-0005-0000-0000-00003E020000}"/>
    <cellStyle name="Euro 27 3 4" xfId="2183" xr:uid="{00000000-0005-0000-0000-00003F020000}"/>
    <cellStyle name="Euro 27 4" xfId="797" xr:uid="{00000000-0005-0000-0000-000040020000}"/>
    <cellStyle name="Euro 27 4 2" xfId="798" xr:uid="{00000000-0005-0000-0000-000041020000}"/>
    <cellStyle name="Euro 27 4 2 2" xfId="2186" xr:uid="{00000000-0005-0000-0000-000042020000}"/>
    <cellStyle name="Euro 27 4 3" xfId="2185" xr:uid="{00000000-0005-0000-0000-000043020000}"/>
    <cellStyle name="Euro 27 5" xfId="799" xr:uid="{00000000-0005-0000-0000-000044020000}"/>
    <cellStyle name="Euro 28" xfId="60" xr:uid="{00000000-0005-0000-0000-000045020000}"/>
    <cellStyle name="Euro 28 2" xfId="465" xr:uid="{00000000-0005-0000-0000-000046020000}"/>
    <cellStyle name="Euro 28 2 2" xfId="2187" xr:uid="{00000000-0005-0000-0000-000047020000}"/>
    <cellStyle name="Euro 28 3" xfId="800" xr:uid="{00000000-0005-0000-0000-000048020000}"/>
    <cellStyle name="Euro 28 3 2" xfId="801" xr:uid="{00000000-0005-0000-0000-000049020000}"/>
    <cellStyle name="Euro 28 3 2 2" xfId="3347" xr:uid="{00000000-0005-0000-0000-00004A020000}"/>
    <cellStyle name="Euro 28 3 2 3" xfId="4518" xr:uid="{00000000-0005-0000-0000-00004B020000}"/>
    <cellStyle name="Euro 28 3 3" xfId="802" xr:uid="{00000000-0005-0000-0000-00004C020000}"/>
    <cellStyle name="Euro 28 3 3 2" xfId="2189" xr:uid="{00000000-0005-0000-0000-00004D020000}"/>
    <cellStyle name="Euro 28 3 4" xfId="2188" xr:uid="{00000000-0005-0000-0000-00004E020000}"/>
    <cellStyle name="Euro 28 4" xfId="803" xr:uid="{00000000-0005-0000-0000-00004F020000}"/>
    <cellStyle name="Euro 28 4 2" xfId="804" xr:uid="{00000000-0005-0000-0000-000050020000}"/>
    <cellStyle name="Euro 28 4 2 2" xfId="2191" xr:uid="{00000000-0005-0000-0000-000051020000}"/>
    <cellStyle name="Euro 28 4 3" xfId="2190" xr:uid="{00000000-0005-0000-0000-000052020000}"/>
    <cellStyle name="Euro 28 5" xfId="805" xr:uid="{00000000-0005-0000-0000-000053020000}"/>
    <cellStyle name="Euro 29" xfId="61" xr:uid="{00000000-0005-0000-0000-000054020000}"/>
    <cellStyle name="Euro 29 2" xfId="466" xr:uid="{00000000-0005-0000-0000-000055020000}"/>
    <cellStyle name="Euro 29 2 2" xfId="2192" xr:uid="{00000000-0005-0000-0000-000056020000}"/>
    <cellStyle name="Euro 29 3" xfId="806" xr:uid="{00000000-0005-0000-0000-000057020000}"/>
    <cellStyle name="Euro 29 3 2" xfId="807" xr:uid="{00000000-0005-0000-0000-000058020000}"/>
    <cellStyle name="Euro 29 3 2 2" xfId="3348" xr:uid="{00000000-0005-0000-0000-000059020000}"/>
    <cellStyle name="Euro 29 3 2 3" xfId="4519" xr:uid="{00000000-0005-0000-0000-00005A020000}"/>
    <cellStyle name="Euro 29 3 3" xfId="808" xr:uid="{00000000-0005-0000-0000-00005B020000}"/>
    <cellStyle name="Euro 29 3 3 2" xfId="2194" xr:uid="{00000000-0005-0000-0000-00005C020000}"/>
    <cellStyle name="Euro 29 3 4" xfId="2193" xr:uid="{00000000-0005-0000-0000-00005D020000}"/>
    <cellStyle name="Euro 29 4" xfId="809" xr:uid="{00000000-0005-0000-0000-00005E020000}"/>
    <cellStyle name="Euro 29 4 2" xfId="810" xr:uid="{00000000-0005-0000-0000-00005F020000}"/>
    <cellStyle name="Euro 29 4 2 2" xfId="2196" xr:uid="{00000000-0005-0000-0000-000060020000}"/>
    <cellStyle name="Euro 29 4 3" xfId="2195" xr:uid="{00000000-0005-0000-0000-000061020000}"/>
    <cellStyle name="Euro 29 5" xfId="811" xr:uid="{00000000-0005-0000-0000-000062020000}"/>
    <cellStyle name="Euro 3" xfId="62" xr:uid="{00000000-0005-0000-0000-000063020000}"/>
    <cellStyle name="Euro 3 2" xfId="467" xr:uid="{00000000-0005-0000-0000-000064020000}"/>
    <cellStyle name="Euro 3 2 2" xfId="2197" xr:uid="{00000000-0005-0000-0000-000065020000}"/>
    <cellStyle name="Euro 3 3" xfId="812" xr:uid="{00000000-0005-0000-0000-000066020000}"/>
    <cellStyle name="Euro 3 3 2" xfId="813" xr:uid="{00000000-0005-0000-0000-000067020000}"/>
    <cellStyle name="Euro 3 3 2 2" xfId="3349" xr:uid="{00000000-0005-0000-0000-000068020000}"/>
    <cellStyle name="Euro 3 3 2 3" xfId="4520" xr:uid="{00000000-0005-0000-0000-000069020000}"/>
    <cellStyle name="Euro 3 3 3" xfId="814" xr:uid="{00000000-0005-0000-0000-00006A020000}"/>
    <cellStyle name="Euro 3 3 3 2" xfId="2199" xr:uid="{00000000-0005-0000-0000-00006B020000}"/>
    <cellStyle name="Euro 3 3 4" xfId="2198" xr:uid="{00000000-0005-0000-0000-00006C020000}"/>
    <cellStyle name="Euro 3 4" xfId="815" xr:uid="{00000000-0005-0000-0000-00006D020000}"/>
    <cellStyle name="Euro 3 4 2" xfId="816" xr:uid="{00000000-0005-0000-0000-00006E020000}"/>
    <cellStyle name="Euro 3 4 2 2" xfId="2201" xr:uid="{00000000-0005-0000-0000-00006F020000}"/>
    <cellStyle name="Euro 3 4 3" xfId="2200" xr:uid="{00000000-0005-0000-0000-000070020000}"/>
    <cellStyle name="Euro 3 5" xfId="817" xr:uid="{00000000-0005-0000-0000-000071020000}"/>
    <cellStyle name="Euro 30" xfId="63" xr:uid="{00000000-0005-0000-0000-000072020000}"/>
    <cellStyle name="Euro 30 2" xfId="468" xr:uid="{00000000-0005-0000-0000-000073020000}"/>
    <cellStyle name="Euro 30 2 2" xfId="2202" xr:uid="{00000000-0005-0000-0000-000074020000}"/>
    <cellStyle name="Euro 30 3" xfId="818" xr:uid="{00000000-0005-0000-0000-000075020000}"/>
    <cellStyle name="Euro 30 3 2" xfId="819" xr:uid="{00000000-0005-0000-0000-000076020000}"/>
    <cellStyle name="Euro 30 3 2 2" xfId="3350" xr:uid="{00000000-0005-0000-0000-000077020000}"/>
    <cellStyle name="Euro 30 3 2 3" xfId="4521" xr:uid="{00000000-0005-0000-0000-000078020000}"/>
    <cellStyle name="Euro 30 3 3" xfId="820" xr:uid="{00000000-0005-0000-0000-000079020000}"/>
    <cellStyle name="Euro 30 3 3 2" xfId="2204" xr:uid="{00000000-0005-0000-0000-00007A020000}"/>
    <cellStyle name="Euro 30 3 4" xfId="2203" xr:uid="{00000000-0005-0000-0000-00007B020000}"/>
    <cellStyle name="Euro 30 4" xfId="821" xr:uid="{00000000-0005-0000-0000-00007C020000}"/>
    <cellStyle name="Euro 30 4 2" xfId="822" xr:uid="{00000000-0005-0000-0000-00007D020000}"/>
    <cellStyle name="Euro 30 4 2 2" xfId="2206" xr:uid="{00000000-0005-0000-0000-00007E020000}"/>
    <cellStyle name="Euro 30 4 3" xfId="2205" xr:uid="{00000000-0005-0000-0000-00007F020000}"/>
    <cellStyle name="Euro 30 5" xfId="823" xr:uid="{00000000-0005-0000-0000-000080020000}"/>
    <cellStyle name="Euro 31" xfId="64" xr:uid="{00000000-0005-0000-0000-000081020000}"/>
    <cellStyle name="Euro 31 2" xfId="469" xr:uid="{00000000-0005-0000-0000-000082020000}"/>
    <cellStyle name="Euro 31 2 2" xfId="2207" xr:uid="{00000000-0005-0000-0000-000083020000}"/>
    <cellStyle name="Euro 31 3" xfId="824" xr:uid="{00000000-0005-0000-0000-000084020000}"/>
    <cellStyle name="Euro 31 3 2" xfId="825" xr:uid="{00000000-0005-0000-0000-000085020000}"/>
    <cellStyle name="Euro 31 3 2 2" xfId="3351" xr:uid="{00000000-0005-0000-0000-000086020000}"/>
    <cellStyle name="Euro 31 3 2 3" xfId="4522" xr:uid="{00000000-0005-0000-0000-000087020000}"/>
    <cellStyle name="Euro 31 3 3" xfId="826" xr:uid="{00000000-0005-0000-0000-000088020000}"/>
    <cellStyle name="Euro 31 3 3 2" xfId="2209" xr:uid="{00000000-0005-0000-0000-000089020000}"/>
    <cellStyle name="Euro 31 3 4" xfId="2208" xr:uid="{00000000-0005-0000-0000-00008A020000}"/>
    <cellStyle name="Euro 31 4" xfId="827" xr:uid="{00000000-0005-0000-0000-00008B020000}"/>
    <cellStyle name="Euro 31 4 2" xfId="828" xr:uid="{00000000-0005-0000-0000-00008C020000}"/>
    <cellStyle name="Euro 31 4 2 2" xfId="2211" xr:uid="{00000000-0005-0000-0000-00008D020000}"/>
    <cellStyle name="Euro 31 4 3" xfId="2210" xr:uid="{00000000-0005-0000-0000-00008E020000}"/>
    <cellStyle name="Euro 31 5" xfId="829" xr:uid="{00000000-0005-0000-0000-00008F020000}"/>
    <cellStyle name="Euro 32" xfId="65" xr:uid="{00000000-0005-0000-0000-000090020000}"/>
    <cellStyle name="Euro 32 2" xfId="470" xr:uid="{00000000-0005-0000-0000-000091020000}"/>
    <cellStyle name="Euro 32 2 2" xfId="2212" xr:uid="{00000000-0005-0000-0000-000092020000}"/>
    <cellStyle name="Euro 32 3" xfId="830" xr:uid="{00000000-0005-0000-0000-000093020000}"/>
    <cellStyle name="Euro 32 3 2" xfId="831" xr:uid="{00000000-0005-0000-0000-000094020000}"/>
    <cellStyle name="Euro 32 3 2 2" xfId="3352" xr:uid="{00000000-0005-0000-0000-000095020000}"/>
    <cellStyle name="Euro 32 3 2 3" xfId="4523" xr:uid="{00000000-0005-0000-0000-000096020000}"/>
    <cellStyle name="Euro 32 3 3" xfId="832" xr:uid="{00000000-0005-0000-0000-000097020000}"/>
    <cellStyle name="Euro 32 3 3 2" xfId="2214" xr:uid="{00000000-0005-0000-0000-000098020000}"/>
    <cellStyle name="Euro 32 3 4" xfId="2213" xr:uid="{00000000-0005-0000-0000-000099020000}"/>
    <cellStyle name="Euro 32 4" xfId="833" xr:uid="{00000000-0005-0000-0000-00009A020000}"/>
    <cellStyle name="Euro 32 4 2" xfId="834" xr:uid="{00000000-0005-0000-0000-00009B020000}"/>
    <cellStyle name="Euro 32 4 2 2" xfId="2216" xr:uid="{00000000-0005-0000-0000-00009C020000}"/>
    <cellStyle name="Euro 32 4 3" xfId="2215" xr:uid="{00000000-0005-0000-0000-00009D020000}"/>
    <cellStyle name="Euro 32 5" xfId="835" xr:uid="{00000000-0005-0000-0000-00009E020000}"/>
    <cellStyle name="Euro 33" xfId="66" xr:uid="{00000000-0005-0000-0000-00009F020000}"/>
    <cellStyle name="Euro 33 2" xfId="471" xr:uid="{00000000-0005-0000-0000-0000A0020000}"/>
    <cellStyle name="Euro 33 2 2" xfId="2217" xr:uid="{00000000-0005-0000-0000-0000A1020000}"/>
    <cellStyle name="Euro 33 3" xfId="836" xr:uid="{00000000-0005-0000-0000-0000A2020000}"/>
    <cellStyle name="Euro 33 3 2" xfId="837" xr:uid="{00000000-0005-0000-0000-0000A3020000}"/>
    <cellStyle name="Euro 33 3 2 2" xfId="3353" xr:uid="{00000000-0005-0000-0000-0000A4020000}"/>
    <cellStyle name="Euro 33 3 2 3" xfId="4524" xr:uid="{00000000-0005-0000-0000-0000A5020000}"/>
    <cellStyle name="Euro 33 3 3" xfId="838" xr:uid="{00000000-0005-0000-0000-0000A6020000}"/>
    <cellStyle name="Euro 33 3 3 2" xfId="2219" xr:uid="{00000000-0005-0000-0000-0000A7020000}"/>
    <cellStyle name="Euro 33 3 4" xfId="2218" xr:uid="{00000000-0005-0000-0000-0000A8020000}"/>
    <cellStyle name="Euro 33 4" xfId="839" xr:uid="{00000000-0005-0000-0000-0000A9020000}"/>
    <cellStyle name="Euro 33 4 2" xfId="840" xr:uid="{00000000-0005-0000-0000-0000AA020000}"/>
    <cellStyle name="Euro 33 4 2 2" xfId="2221" xr:uid="{00000000-0005-0000-0000-0000AB020000}"/>
    <cellStyle name="Euro 33 4 3" xfId="2220" xr:uid="{00000000-0005-0000-0000-0000AC020000}"/>
    <cellStyle name="Euro 33 5" xfId="841" xr:uid="{00000000-0005-0000-0000-0000AD020000}"/>
    <cellStyle name="Euro 34" xfId="67" xr:uid="{00000000-0005-0000-0000-0000AE020000}"/>
    <cellStyle name="Euro 34 2" xfId="472" xr:uid="{00000000-0005-0000-0000-0000AF020000}"/>
    <cellStyle name="Euro 34 2 2" xfId="2222" xr:uid="{00000000-0005-0000-0000-0000B0020000}"/>
    <cellStyle name="Euro 34 3" xfId="842" xr:uid="{00000000-0005-0000-0000-0000B1020000}"/>
    <cellStyle name="Euro 34 3 2" xfId="843" xr:uid="{00000000-0005-0000-0000-0000B2020000}"/>
    <cellStyle name="Euro 34 3 2 2" xfId="3354" xr:uid="{00000000-0005-0000-0000-0000B3020000}"/>
    <cellStyle name="Euro 34 3 2 3" xfId="4525" xr:uid="{00000000-0005-0000-0000-0000B4020000}"/>
    <cellStyle name="Euro 34 3 3" xfId="844" xr:uid="{00000000-0005-0000-0000-0000B5020000}"/>
    <cellStyle name="Euro 34 3 3 2" xfId="2224" xr:uid="{00000000-0005-0000-0000-0000B6020000}"/>
    <cellStyle name="Euro 34 3 4" xfId="2223" xr:uid="{00000000-0005-0000-0000-0000B7020000}"/>
    <cellStyle name="Euro 34 4" xfId="845" xr:uid="{00000000-0005-0000-0000-0000B8020000}"/>
    <cellStyle name="Euro 34 4 2" xfId="846" xr:uid="{00000000-0005-0000-0000-0000B9020000}"/>
    <cellStyle name="Euro 34 4 2 2" xfId="2226" xr:uid="{00000000-0005-0000-0000-0000BA020000}"/>
    <cellStyle name="Euro 34 4 3" xfId="2225" xr:uid="{00000000-0005-0000-0000-0000BB020000}"/>
    <cellStyle name="Euro 34 5" xfId="847" xr:uid="{00000000-0005-0000-0000-0000BC020000}"/>
    <cellStyle name="Euro 35" xfId="68" xr:uid="{00000000-0005-0000-0000-0000BD020000}"/>
    <cellStyle name="Euro 35 2" xfId="473" xr:uid="{00000000-0005-0000-0000-0000BE020000}"/>
    <cellStyle name="Euro 35 2 2" xfId="2227" xr:uid="{00000000-0005-0000-0000-0000BF020000}"/>
    <cellStyle name="Euro 35 3" xfId="848" xr:uid="{00000000-0005-0000-0000-0000C0020000}"/>
    <cellStyle name="Euro 35 3 2" xfId="849" xr:uid="{00000000-0005-0000-0000-0000C1020000}"/>
    <cellStyle name="Euro 35 3 2 2" xfId="3355" xr:uid="{00000000-0005-0000-0000-0000C2020000}"/>
    <cellStyle name="Euro 35 3 2 3" xfId="4526" xr:uid="{00000000-0005-0000-0000-0000C3020000}"/>
    <cellStyle name="Euro 35 3 3" xfId="850" xr:uid="{00000000-0005-0000-0000-0000C4020000}"/>
    <cellStyle name="Euro 35 3 3 2" xfId="2229" xr:uid="{00000000-0005-0000-0000-0000C5020000}"/>
    <cellStyle name="Euro 35 3 4" xfId="2228" xr:uid="{00000000-0005-0000-0000-0000C6020000}"/>
    <cellStyle name="Euro 35 4" xfId="851" xr:uid="{00000000-0005-0000-0000-0000C7020000}"/>
    <cellStyle name="Euro 35 4 2" xfId="852" xr:uid="{00000000-0005-0000-0000-0000C8020000}"/>
    <cellStyle name="Euro 35 4 2 2" xfId="2231" xr:uid="{00000000-0005-0000-0000-0000C9020000}"/>
    <cellStyle name="Euro 35 4 3" xfId="2230" xr:uid="{00000000-0005-0000-0000-0000CA020000}"/>
    <cellStyle name="Euro 35 5" xfId="853" xr:uid="{00000000-0005-0000-0000-0000CB020000}"/>
    <cellStyle name="Euro 36" xfId="69" xr:uid="{00000000-0005-0000-0000-0000CC020000}"/>
    <cellStyle name="Euro 36 2" xfId="474" xr:uid="{00000000-0005-0000-0000-0000CD020000}"/>
    <cellStyle name="Euro 36 2 2" xfId="2232" xr:uid="{00000000-0005-0000-0000-0000CE020000}"/>
    <cellStyle name="Euro 36 3" xfId="854" xr:uid="{00000000-0005-0000-0000-0000CF020000}"/>
    <cellStyle name="Euro 36 3 2" xfId="855" xr:uid="{00000000-0005-0000-0000-0000D0020000}"/>
    <cellStyle name="Euro 36 3 2 2" xfId="3356" xr:uid="{00000000-0005-0000-0000-0000D1020000}"/>
    <cellStyle name="Euro 36 3 2 3" xfId="4527" xr:uid="{00000000-0005-0000-0000-0000D2020000}"/>
    <cellStyle name="Euro 36 3 3" xfId="856" xr:uid="{00000000-0005-0000-0000-0000D3020000}"/>
    <cellStyle name="Euro 36 3 3 2" xfId="2234" xr:uid="{00000000-0005-0000-0000-0000D4020000}"/>
    <cellStyle name="Euro 36 3 4" xfId="2233" xr:uid="{00000000-0005-0000-0000-0000D5020000}"/>
    <cellStyle name="Euro 36 4" xfId="857" xr:uid="{00000000-0005-0000-0000-0000D6020000}"/>
    <cellStyle name="Euro 36 4 2" xfId="858" xr:uid="{00000000-0005-0000-0000-0000D7020000}"/>
    <cellStyle name="Euro 36 4 2 2" xfId="2236" xr:uid="{00000000-0005-0000-0000-0000D8020000}"/>
    <cellStyle name="Euro 36 4 3" xfId="2235" xr:uid="{00000000-0005-0000-0000-0000D9020000}"/>
    <cellStyle name="Euro 36 5" xfId="859" xr:uid="{00000000-0005-0000-0000-0000DA020000}"/>
    <cellStyle name="Euro 37" xfId="70" xr:uid="{00000000-0005-0000-0000-0000DB020000}"/>
    <cellStyle name="Euro 37 2" xfId="475" xr:uid="{00000000-0005-0000-0000-0000DC020000}"/>
    <cellStyle name="Euro 37 2 2" xfId="2237" xr:uid="{00000000-0005-0000-0000-0000DD020000}"/>
    <cellStyle name="Euro 37 3" xfId="860" xr:uid="{00000000-0005-0000-0000-0000DE020000}"/>
    <cellStyle name="Euro 37 3 2" xfId="861" xr:uid="{00000000-0005-0000-0000-0000DF020000}"/>
    <cellStyle name="Euro 37 3 2 2" xfId="3357" xr:uid="{00000000-0005-0000-0000-0000E0020000}"/>
    <cellStyle name="Euro 37 3 2 3" xfId="4528" xr:uid="{00000000-0005-0000-0000-0000E1020000}"/>
    <cellStyle name="Euro 37 3 3" xfId="862" xr:uid="{00000000-0005-0000-0000-0000E2020000}"/>
    <cellStyle name="Euro 37 3 3 2" xfId="2239" xr:uid="{00000000-0005-0000-0000-0000E3020000}"/>
    <cellStyle name="Euro 37 3 4" xfId="2238" xr:uid="{00000000-0005-0000-0000-0000E4020000}"/>
    <cellStyle name="Euro 37 4" xfId="863" xr:uid="{00000000-0005-0000-0000-0000E5020000}"/>
    <cellStyle name="Euro 37 4 2" xfId="864" xr:uid="{00000000-0005-0000-0000-0000E6020000}"/>
    <cellStyle name="Euro 37 4 2 2" xfId="2241" xr:uid="{00000000-0005-0000-0000-0000E7020000}"/>
    <cellStyle name="Euro 37 4 3" xfId="2240" xr:uid="{00000000-0005-0000-0000-0000E8020000}"/>
    <cellStyle name="Euro 37 5" xfId="865" xr:uid="{00000000-0005-0000-0000-0000E9020000}"/>
    <cellStyle name="Euro 38" xfId="71" xr:uid="{00000000-0005-0000-0000-0000EA020000}"/>
    <cellStyle name="Euro 38 2" xfId="476" xr:uid="{00000000-0005-0000-0000-0000EB020000}"/>
    <cellStyle name="Euro 38 2 2" xfId="2242" xr:uid="{00000000-0005-0000-0000-0000EC020000}"/>
    <cellStyle name="Euro 38 3" xfId="866" xr:uid="{00000000-0005-0000-0000-0000ED020000}"/>
    <cellStyle name="Euro 38 3 2" xfId="867" xr:uid="{00000000-0005-0000-0000-0000EE020000}"/>
    <cellStyle name="Euro 38 3 2 2" xfId="3358" xr:uid="{00000000-0005-0000-0000-0000EF020000}"/>
    <cellStyle name="Euro 38 3 2 3" xfId="4529" xr:uid="{00000000-0005-0000-0000-0000F0020000}"/>
    <cellStyle name="Euro 38 3 3" xfId="868" xr:uid="{00000000-0005-0000-0000-0000F1020000}"/>
    <cellStyle name="Euro 38 3 3 2" xfId="2244" xr:uid="{00000000-0005-0000-0000-0000F2020000}"/>
    <cellStyle name="Euro 38 3 4" xfId="2243" xr:uid="{00000000-0005-0000-0000-0000F3020000}"/>
    <cellStyle name="Euro 38 4" xfId="869" xr:uid="{00000000-0005-0000-0000-0000F4020000}"/>
    <cellStyle name="Euro 38 4 2" xfId="870" xr:uid="{00000000-0005-0000-0000-0000F5020000}"/>
    <cellStyle name="Euro 38 4 2 2" xfId="2246" xr:uid="{00000000-0005-0000-0000-0000F6020000}"/>
    <cellStyle name="Euro 38 4 3" xfId="2245" xr:uid="{00000000-0005-0000-0000-0000F7020000}"/>
    <cellStyle name="Euro 38 5" xfId="871" xr:uid="{00000000-0005-0000-0000-0000F8020000}"/>
    <cellStyle name="Euro 39" xfId="72" xr:uid="{00000000-0005-0000-0000-0000F9020000}"/>
    <cellStyle name="Euro 39 2" xfId="477" xr:uid="{00000000-0005-0000-0000-0000FA020000}"/>
    <cellStyle name="Euro 39 2 2" xfId="2247" xr:uid="{00000000-0005-0000-0000-0000FB020000}"/>
    <cellStyle name="Euro 39 3" xfId="872" xr:uid="{00000000-0005-0000-0000-0000FC020000}"/>
    <cellStyle name="Euro 39 3 2" xfId="873" xr:uid="{00000000-0005-0000-0000-0000FD020000}"/>
    <cellStyle name="Euro 39 3 2 2" xfId="3359" xr:uid="{00000000-0005-0000-0000-0000FE020000}"/>
    <cellStyle name="Euro 39 3 2 3" xfId="4530" xr:uid="{00000000-0005-0000-0000-0000FF020000}"/>
    <cellStyle name="Euro 39 3 3" xfId="874" xr:uid="{00000000-0005-0000-0000-000000030000}"/>
    <cellStyle name="Euro 39 3 3 2" xfId="2249" xr:uid="{00000000-0005-0000-0000-000001030000}"/>
    <cellStyle name="Euro 39 3 4" xfId="2248" xr:uid="{00000000-0005-0000-0000-000002030000}"/>
    <cellStyle name="Euro 39 4" xfId="875" xr:uid="{00000000-0005-0000-0000-000003030000}"/>
    <cellStyle name="Euro 39 4 2" xfId="876" xr:uid="{00000000-0005-0000-0000-000004030000}"/>
    <cellStyle name="Euro 39 4 2 2" xfId="2251" xr:uid="{00000000-0005-0000-0000-000005030000}"/>
    <cellStyle name="Euro 39 4 3" xfId="2250" xr:uid="{00000000-0005-0000-0000-000006030000}"/>
    <cellStyle name="Euro 39 5" xfId="877" xr:uid="{00000000-0005-0000-0000-000007030000}"/>
    <cellStyle name="Euro 4" xfId="73" xr:uid="{00000000-0005-0000-0000-000008030000}"/>
    <cellStyle name="Euro 4 2" xfId="478" xr:uid="{00000000-0005-0000-0000-000009030000}"/>
    <cellStyle name="Euro 4 2 2" xfId="2252" xr:uid="{00000000-0005-0000-0000-00000A030000}"/>
    <cellStyle name="Euro 4 3" xfId="878" xr:uid="{00000000-0005-0000-0000-00000B030000}"/>
    <cellStyle name="Euro 4 3 2" xfId="879" xr:uid="{00000000-0005-0000-0000-00000C030000}"/>
    <cellStyle name="Euro 4 3 2 2" xfId="3360" xr:uid="{00000000-0005-0000-0000-00000D030000}"/>
    <cellStyle name="Euro 4 3 2 3" xfId="4531" xr:uid="{00000000-0005-0000-0000-00000E030000}"/>
    <cellStyle name="Euro 4 3 3" xfId="880" xr:uid="{00000000-0005-0000-0000-00000F030000}"/>
    <cellStyle name="Euro 4 3 3 2" xfId="2254" xr:uid="{00000000-0005-0000-0000-000010030000}"/>
    <cellStyle name="Euro 4 3 4" xfId="2253" xr:uid="{00000000-0005-0000-0000-000011030000}"/>
    <cellStyle name="Euro 4 4" xfId="881" xr:uid="{00000000-0005-0000-0000-000012030000}"/>
    <cellStyle name="Euro 4 4 2" xfId="882" xr:uid="{00000000-0005-0000-0000-000013030000}"/>
    <cellStyle name="Euro 4 4 2 2" xfId="2256" xr:uid="{00000000-0005-0000-0000-000014030000}"/>
    <cellStyle name="Euro 4 4 3" xfId="2255" xr:uid="{00000000-0005-0000-0000-000015030000}"/>
    <cellStyle name="Euro 4 5" xfId="883" xr:uid="{00000000-0005-0000-0000-000016030000}"/>
    <cellStyle name="Euro 40" xfId="74" xr:uid="{00000000-0005-0000-0000-000017030000}"/>
    <cellStyle name="Euro 40 2" xfId="479" xr:uid="{00000000-0005-0000-0000-000018030000}"/>
    <cellStyle name="Euro 40 2 2" xfId="2257" xr:uid="{00000000-0005-0000-0000-000019030000}"/>
    <cellStyle name="Euro 40 3" xfId="884" xr:uid="{00000000-0005-0000-0000-00001A030000}"/>
    <cellStyle name="Euro 40 3 2" xfId="885" xr:uid="{00000000-0005-0000-0000-00001B030000}"/>
    <cellStyle name="Euro 40 3 2 2" xfId="3361" xr:uid="{00000000-0005-0000-0000-00001C030000}"/>
    <cellStyle name="Euro 40 3 2 3" xfId="4532" xr:uid="{00000000-0005-0000-0000-00001D030000}"/>
    <cellStyle name="Euro 40 3 3" xfId="886" xr:uid="{00000000-0005-0000-0000-00001E030000}"/>
    <cellStyle name="Euro 40 3 3 2" xfId="2259" xr:uid="{00000000-0005-0000-0000-00001F030000}"/>
    <cellStyle name="Euro 40 3 4" xfId="2258" xr:uid="{00000000-0005-0000-0000-000020030000}"/>
    <cellStyle name="Euro 40 4" xfId="887" xr:uid="{00000000-0005-0000-0000-000021030000}"/>
    <cellStyle name="Euro 40 4 2" xfId="888" xr:uid="{00000000-0005-0000-0000-000022030000}"/>
    <cellStyle name="Euro 40 4 2 2" xfId="2261" xr:uid="{00000000-0005-0000-0000-000023030000}"/>
    <cellStyle name="Euro 40 4 3" xfId="2260" xr:uid="{00000000-0005-0000-0000-000024030000}"/>
    <cellStyle name="Euro 40 5" xfId="889" xr:uid="{00000000-0005-0000-0000-000025030000}"/>
    <cellStyle name="Euro 41" xfId="75" xr:uid="{00000000-0005-0000-0000-000026030000}"/>
    <cellStyle name="Euro 41 2" xfId="480" xr:uid="{00000000-0005-0000-0000-000027030000}"/>
    <cellStyle name="Euro 41 2 2" xfId="2262" xr:uid="{00000000-0005-0000-0000-000028030000}"/>
    <cellStyle name="Euro 41 3" xfId="890" xr:uid="{00000000-0005-0000-0000-000029030000}"/>
    <cellStyle name="Euro 41 3 2" xfId="891" xr:uid="{00000000-0005-0000-0000-00002A030000}"/>
    <cellStyle name="Euro 41 3 2 2" xfId="3362" xr:uid="{00000000-0005-0000-0000-00002B030000}"/>
    <cellStyle name="Euro 41 3 2 3" xfId="4533" xr:uid="{00000000-0005-0000-0000-00002C030000}"/>
    <cellStyle name="Euro 41 3 3" xfId="892" xr:uid="{00000000-0005-0000-0000-00002D030000}"/>
    <cellStyle name="Euro 41 3 3 2" xfId="2264" xr:uid="{00000000-0005-0000-0000-00002E030000}"/>
    <cellStyle name="Euro 41 3 4" xfId="2263" xr:uid="{00000000-0005-0000-0000-00002F030000}"/>
    <cellStyle name="Euro 41 4" xfId="893" xr:uid="{00000000-0005-0000-0000-000030030000}"/>
    <cellStyle name="Euro 41 4 2" xfId="894" xr:uid="{00000000-0005-0000-0000-000031030000}"/>
    <cellStyle name="Euro 41 4 2 2" xfId="2266" xr:uid="{00000000-0005-0000-0000-000032030000}"/>
    <cellStyle name="Euro 41 4 3" xfId="2265" xr:uid="{00000000-0005-0000-0000-000033030000}"/>
    <cellStyle name="Euro 41 5" xfId="895" xr:uid="{00000000-0005-0000-0000-000034030000}"/>
    <cellStyle name="Euro 42" xfId="76" xr:uid="{00000000-0005-0000-0000-000035030000}"/>
    <cellStyle name="Euro 42 2" xfId="481" xr:uid="{00000000-0005-0000-0000-000036030000}"/>
    <cellStyle name="Euro 42 2 2" xfId="2267" xr:uid="{00000000-0005-0000-0000-000037030000}"/>
    <cellStyle name="Euro 42 3" xfId="896" xr:uid="{00000000-0005-0000-0000-000038030000}"/>
    <cellStyle name="Euro 42 3 2" xfId="897" xr:uid="{00000000-0005-0000-0000-000039030000}"/>
    <cellStyle name="Euro 42 3 2 2" xfId="3363" xr:uid="{00000000-0005-0000-0000-00003A030000}"/>
    <cellStyle name="Euro 42 3 2 3" xfId="4534" xr:uid="{00000000-0005-0000-0000-00003B030000}"/>
    <cellStyle name="Euro 42 3 3" xfId="898" xr:uid="{00000000-0005-0000-0000-00003C030000}"/>
    <cellStyle name="Euro 42 3 3 2" xfId="2269" xr:uid="{00000000-0005-0000-0000-00003D030000}"/>
    <cellStyle name="Euro 42 3 4" xfId="2268" xr:uid="{00000000-0005-0000-0000-00003E030000}"/>
    <cellStyle name="Euro 42 4" xfId="899" xr:uid="{00000000-0005-0000-0000-00003F030000}"/>
    <cellStyle name="Euro 42 4 2" xfId="900" xr:uid="{00000000-0005-0000-0000-000040030000}"/>
    <cellStyle name="Euro 42 4 2 2" xfId="2271" xr:uid="{00000000-0005-0000-0000-000041030000}"/>
    <cellStyle name="Euro 42 4 3" xfId="2270" xr:uid="{00000000-0005-0000-0000-000042030000}"/>
    <cellStyle name="Euro 42 5" xfId="901" xr:uid="{00000000-0005-0000-0000-000043030000}"/>
    <cellStyle name="Euro 43" xfId="77" xr:uid="{00000000-0005-0000-0000-000044030000}"/>
    <cellStyle name="Euro 43 2" xfId="482" xr:uid="{00000000-0005-0000-0000-000045030000}"/>
    <cellStyle name="Euro 43 2 2" xfId="2272" xr:uid="{00000000-0005-0000-0000-000046030000}"/>
    <cellStyle name="Euro 43 3" xfId="902" xr:uid="{00000000-0005-0000-0000-000047030000}"/>
    <cellStyle name="Euro 43 3 2" xfId="903" xr:uid="{00000000-0005-0000-0000-000048030000}"/>
    <cellStyle name="Euro 43 3 2 2" xfId="3364" xr:uid="{00000000-0005-0000-0000-000049030000}"/>
    <cellStyle name="Euro 43 3 2 3" xfId="4535" xr:uid="{00000000-0005-0000-0000-00004A030000}"/>
    <cellStyle name="Euro 43 3 3" xfId="904" xr:uid="{00000000-0005-0000-0000-00004B030000}"/>
    <cellStyle name="Euro 43 3 3 2" xfId="2274" xr:uid="{00000000-0005-0000-0000-00004C030000}"/>
    <cellStyle name="Euro 43 3 4" xfId="2273" xr:uid="{00000000-0005-0000-0000-00004D030000}"/>
    <cellStyle name="Euro 43 4" xfId="905" xr:uid="{00000000-0005-0000-0000-00004E030000}"/>
    <cellStyle name="Euro 43 4 2" xfId="906" xr:uid="{00000000-0005-0000-0000-00004F030000}"/>
    <cellStyle name="Euro 43 4 2 2" xfId="2276" xr:uid="{00000000-0005-0000-0000-000050030000}"/>
    <cellStyle name="Euro 43 4 3" xfId="2275" xr:uid="{00000000-0005-0000-0000-000051030000}"/>
    <cellStyle name="Euro 43 5" xfId="907" xr:uid="{00000000-0005-0000-0000-000052030000}"/>
    <cellStyle name="Euro 44" xfId="78" xr:uid="{00000000-0005-0000-0000-000053030000}"/>
    <cellStyle name="Euro 44 2" xfId="483" xr:uid="{00000000-0005-0000-0000-000054030000}"/>
    <cellStyle name="Euro 44 2 2" xfId="2277" xr:uid="{00000000-0005-0000-0000-000055030000}"/>
    <cellStyle name="Euro 44 3" xfId="908" xr:uid="{00000000-0005-0000-0000-000056030000}"/>
    <cellStyle name="Euro 44 3 2" xfId="909" xr:uid="{00000000-0005-0000-0000-000057030000}"/>
    <cellStyle name="Euro 44 3 2 2" xfId="3365" xr:uid="{00000000-0005-0000-0000-000058030000}"/>
    <cellStyle name="Euro 44 3 2 3" xfId="4536" xr:uid="{00000000-0005-0000-0000-000059030000}"/>
    <cellStyle name="Euro 44 3 3" xfId="910" xr:uid="{00000000-0005-0000-0000-00005A030000}"/>
    <cellStyle name="Euro 44 3 3 2" xfId="2279" xr:uid="{00000000-0005-0000-0000-00005B030000}"/>
    <cellStyle name="Euro 44 3 4" xfId="2278" xr:uid="{00000000-0005-0000-0000-00005C030000}"/>
    <cellStyle name="Euro 44 4" xfId="911" xr:uid="{00000000-0005-0000-0000-00005D030000}"/>
    <cellStyle name="Euro 44 4 2" xfId="912" xr:uid="{00000000-0005-0000-0000-00005E030000}"/>
    <cellStyle name="Euro 44 4 2 2" xfId="2281" xr:uid="{00000000-0005-0000-0000-00005F030000}"/>
    <cellStyle name="Euro 44 4 3" xfId="2280" xr:uid="{00000000-0005-0000-0000-000060030000}"/>
    <cellStyle name="Euro 44 5" xfId="913" xr:uid="{00000000-0005-0000-0000-000061030000}"/>
    <cellStyle name="Euro 45" xfId="445" xr:uid="{00000000-0005-0000-0000-000062030000}"/>
    <cellStyle name="Euro 45 2" xfId="915" xr:uid="{00000000-0005-0000-0000-000063030000}"/>
    <cellStyle name="Euro 45 2 2" xfId="2283" xr:uid="{00000000-0005-0000-0000-000064030000}"/>
    <cellStyle name="Euro 45 2 3" xfId="3366" xr:uid="{00000000-0005-0000-0000-000065030000}"/>
    <cellStyle name="Euro 45 2 4" xfId="4538" xr:uid="{00000000-0005-0000-0000-000066030000}"/>
    <cellStyle name="Euro 45 3" xfId="2282" xr:uid="{00000000-0005-0000-0000-000067030000}"/>
    <cellStyle name="Euro 45 4" xfId="914" xr:uid="{00000000-0005-0000-0000-000068030000}"/>
    <cellStyle name="Euro 45 5" xfId="3367" xr:uid="{00000000-0005-0000-0000-000069030000}"/>
    <cellStyle name="Euro 45 6" xfId="4537" xr:uid="{00000000-0005-0000-0000-00006A030000}"/>
    <cellStyle name="Euro 46" xfId="916" xr:uid="{00000000-0005-0000-0000-00006B030000}"/>
    <cellStyle name="Euro 46 2" xfId="2284" xr:uid="{00000000-0005-0000-0000-00006C030000}"/>
    <cellStyle name="Euro 47" xfId="917" xr:uid="{00000000-0005-0000-0000-00006D030000}"/>
    <cellStyle name="Euro 47 2" xfId="918" xr:uid="{00000000-0005-0000-0000-00006E030000}"/>
    <cellStyle name="Euro 47 2 2" xfId="3368" xr:uid="{00000000-0005-0000-0000-00006F030000}"/>
    <cellStyle name="Euro 47 2 3" xfId="4539" xr:uid="{00000000-0005-0000-0000-000070030000}"/>
    <cellStyle name="Euro 47 3" xfId="919" xr:uid="{00000000-0005-0000-0000-000071030000}"/>
    <cellStyle name="Euro 47 3 2" xfId="2286" xr:uid="{00000000-0005-0000-0000-000072030000}"/>
    <cellStyle name="Euro 47 4" xfId="2285" xr:uid="{00000000-0005-0000-0000-000073030000}"/>
    <cellStyle name="Euro 48" xfId="920" xr:uid="{00000000-0005-0000-0000-000074030000}"/>
    <cellStyle name="Euro 48 2" xfId="2287" xr:uid="{00000000-0005-0000-0000-000075030000}"/>
    <cellStyle name="Euro 49" xfId="921" xr:uid="{00000000-0005-0000-0000-000076030000}"/>
    <cellStyle name="Euro 49 2" xfId="922" xr:uid="{00000000-0005-0000-0000-000077030000}"/>
    <cellStyle name="Euro 49 2 2" xfId="2289" xr:uid="{00000000-0005-0000-0000-000078030000}"/>
    <cellStyle name="Euro 49 3" xfId="2288" xr:uid="{00000000-0005-0000-0000-000079030000}"/>
    <cellStyle name="Euro 5" xfId="79" xr:uid="{00000000-0005-0000-0000-00007A030000}"/>
    <cellStyle name="Euro 5 2" xfId="484" xr:uid="{00000000-0005-0000-0000-00007B030000}"/>
    <cellStyle name="Euro 5 2 2" xfId="2290" xr:uid="{00000000-0005-0000-0000-00007C030000}"/>
    <cellStyle name="Euro 5 3" xfId="923" xr:uid="{00000000-0005-0000-0000-00007D030000}"/>
    <cellStyle name="Euro 5 3 2" xfId="924" xr:uid="{00000000-0005-0000-0000-00007E030000}"/>
    <cellStyle name="Euro 5 3 2 2" xfId="3369" xr:uid="{00000000-0005-0000-0000-00007F030000}"/>
    <cellStyle name="Euro 5 3 2 3" xfId="4540" xr:uid="{00000000-0005-0000-0000-000080030000}"/>
    <cellStyle name="Euro 5 3 3" xfId="925" xr:uid="{00000000-0005-0000-0000-000081030000}"/>
    <cellStyle name="Euro 5 3 3 2" xfId="2292" xr:uid="{00000000-0005-0000-0000-000082030000}"/>
    <cellStyle name="Euro 5 3 4" xfId="2291" xr:uid="{00000000-0005-0000-0000-000083030000}"/>
    <cellStyle name="Euro 5 4" xfId="926" xr:uid="{00000000-0005-0000-0000-000084030000}"/>
    <cellStyle name="Euro 5 4 2" xfId="927" xr:uid="{00000000-0005-0000-0000-000085030000}"/>
    <cellStyle name="Euro 5 4 2 2" xfId="2294" xr:uid="{00000000-0005-0000-0000-000086030000}"/>
    <cellStyle name="Euro 5 4 3" xfId="2293" xr:uid="{00000000-0005-0000-0000-000087030000}"/>
    <cellStyle name="Euro 5 5" xfId="928" xr:uid="{00000000-0005-0000-0000-000088030000}"/>
    <cellStyle name="Euro 50" xfId="929" xr:uid="{00000000-0005-0000-0000-000089030000}"/>
    <cellStyle name="Euro 51" xfId="930" xr:uid="{00000000-0005-0000-0000-00008A030000}"/>
    <cellStyle name="Euro 51 2" xfId="2295" xr:uid="{00000000-0005-0000-0000-00008B030000}"/>
    <cellStyle name="Euro 6" xfId="80" xr:uid="{00000000-0005-0000-0000-00008C030000}"/>
    <cellStyle name="Euro 6 2" xfId="485" xr:uid="{00000000-0005-0000-0000-00008D030000}"/>
    <cellStyle name="Euro 6 2 2" xfId="2296" xr:uid="{00000000-0005-0000-0000-00008E030000}"/>
    <cellStyle name="Euro 6 3" xfId="931" xr:uid="{00000000-0005-0000-0000-00008F030000}"/>
    <cellStyle name="Euro 6 3 2" xfId="932" xr:uid="{00000000-0005-0000-0000-000090030000}"/>
    <cellStyle name="Euro 6 3 2 2" xfId="3370" xr:uid="{00000000-0005-0000-0000-000091030000}"/>
    <cellStyle name="Euro 6 3 2 3" xfId="4541" xr:uid="{00000000-0005-0000-0000-000092030000}"/>
    <cellStyle name="Euro 6 3 3" xfId="933" xr:uid="{00000000-0005-0000-0000-000093030000}"/>
    <cellStyle name="Euro 6 3 3 2" xfId="2298" xr:uid="{00000000-0005-0000-0000-000094030000}"/>
    <cellStyle name="Euro 6 3 4" xfId="2297" xr:uid="{00000000-0005-0000-0000-000095030000}"/>
    <cellStyle name="Euro 6 4" xfId="934" xr:uid="{00000000-0005-0000-0000-000096030000}"/>
    <cellStyle name="Euro 6 4 2" xfId="935" xr:uid="{00000000-0005-0000-0000-000097030000}"/>
    <cellStyle name="Euro 6 4 2 2" xfId="2300" xr:uid="{00000000-0005-0000-0000-000098030000}"/>
    <cellStyle name="Euro 6 4 3" xfId="2299" xr:uid="{00000000-0005-0000-0000-000099030000}"/>
    <cellStyle name="Euro 6 5" xfId="936" xr:uid="{00000000-0005-0000-0000-00009A030000}"/>
    <cellStyle name="Euro 7" xfId="81" xr:uid="{00000000-0005-0000-0000-00009B030000}"/>
    <cellStyle name="Euro 7 2" xfId="486" xr:uid="{00000000-0005-0000-0000-00009C030000}"/>
    <cellStyle name="Euro 7 2 2" xfId="2301" xr:uid="{00000000-0005-0000-0000-00009D030000}"/>
    <cellStyle name="Euro 7 3" xfId="937" xr:uid="{00000000-0005-0000-0000-00009E030000}"/>
    <cellStyle name="Euro 7 3 2" xfId="938" xr:uid="{00000000-0005-0000-0000-00009F030000}"/>
    <cellStyle name="Euro 7 3 2 2" xfId="3371" xr:uid="{00000000-0005-0000-0000-0000A0030000}"/>
    <cellStyle name="Euro 7 3 2 3" xfId="4542" xr:uid="{00000000-0005-0000-0000-0000A1030000}"/>
    <cellStyle name="Euro 7 3 3" xfId="939" xr:uid="{00000000-0005-0000-0000-0000A2030000}"/>
    <cellStyle name="Euro 7 3 3 2" xfId="2303" xr:uid="{00000000-0005-0000-0000-0000A3030000}"/>
    <cellStyle name="Euro 7 3 4" xfId="2302" xr:uid="{00000000-0005-0000-0000-0000A4030000}"/>
    <cellStyle name="Euro 7 4" xfId="940" xr:uid="{00000000-0005-0000-0000-0000A5030000}"/>
    <cellStyle name="Euro 7 4 2" xfId="941" xr:uid="{00000000-0005-0000-0000-0000A6030000}"/>
    <cellStyle name="Euro 7 4 2 2" xfId="2305" xr:uid="{00000000-0005-0000-0000-0000A7030000}"/>
    <cellStyle name="Euro 7 4 3" xfId="2304" xr:uid="{00000000-0005-0000-0000-0000A8030000}"/>
    <cellStyle name="Euro 7 5" xfId="942" xr:uid="{00000000-0005-0000-0000-0000A9030000}"/>
    <cellStyle name="Euro 8" xfId="82" xr:uid="{00000000-0005-0000-0000-0000AA030000}"/>
    <cellStyle name="Euro 8 2" xfId="487" xr:uid="{00000000-0005-0000-0000-0000AB030000}"/>
    <cellStyle name="Euro 8 2 2" xfId="2306" xr:uid="{00000000-0005-0000-0000-0000AC030000}"/>
    <cellStyle name="Euro 8 3" xfId="943" xr:uid="{00000000-0005-0000-0000-0000AD030000}"/>
    <cellStyle name="Euro 8 3 2" xfId="944" xr:uid="{00000000-0005-0000-0000-0000AE030000}"/>
    <cellStyle name="Euro 8 3 2 2" xfId="3372" xr:uid="{00000000-0005-0000-0000-0000AF030000}"/>
    <cellStyle name="Euro 8 3 2 3" xfId="4543" xr:uid="{00000000-0005-0000-0000-0000B0030000}"/>
    <cellStyle name="Euro 8 3 3" xfId="945" xr:uid="{00000000-0005-0000-0000-0000B1030000}"/>
    <cellStyle name="Euro 8 3 3 2" xfId="2308" xr:uid="{00000000-0005-0000-0000-0000B2030000}"/>
    <cellStyle name="Euro 8 3 4" xfId="2307" xr:uid="{00000000-0005-0000-0000-0000B3030000}"/>
    <cellStyle name="Euro 8 4" xfId="946" xr:uid="{00000000-0005-0000-0000-0000B4030000}"/>
    <cellStyle name="Euro 8 4 2" xfId="947" xr:uid="{00000000-0005-0000-0000-0000B5030000}"/>
    <cellStyle name="Euro 8 4 2 2" xfId="2310" xr:uid="{00000000-0005-0000-0000-0000B6030000}"/>
    <cellStyle name="Euro 8 4 3" xfId="2309" xr:uid="{00000000-0005-0000-0000-0000B7030000}"/>
    <cellStyle name="Euro 8 5" xfId="948" xr:uid="{00000000-0005-0000-0000-0000B8030000}"/>
    <cellStyle name="Euro 9" xfId="83" xr:uid="{00000000-0005-0000-0000-0000B9030000}"/>
    <cellStyle name="Euro 9 2" xfId="488" xr:uid="{00000000-0005-0000-0000-0000BA030000}"/>
    <cellStyle name="Euro 9 2 2" xfId="2311" xr:uid="{00000000-0005-0000-0000-0000BB030000}"/>
    <cellStyle name="Euro 9 3" xfId="949" xr:uid="{00000000-0005-0000-0000-0000BC030000}"/>
    <cellStyle name="Euro 9 3 2" xfId="950" xr:uid="{00000000-0005-0000-0000-0000BD030000}"/>
    <cellStyle name="Euro 9 3 2 2" xfId="3373" xr:uid="{00000000-0005-0000-0000-0000BE030000}"/>
    <cellStyle name="Euro 9 3 2 3" xfId="4544" xr:uid="{00000000-0005-0000-0000-0000BF030000}"/>
    <cellStyle name="Euro 9 3 3" xfId="951" xr:uid="{00000000-0005-0000-0000-0000C0030000}"/>
    <cellStyle name="Euro 9 3 3 2" xfId="2313" xr:uid="{00000000-0005-0000-0000-0000C1030000}"/>
    <cellStyle name="Euro 9 3 4" xfId="2312" xr:uid="{00000000-0005-0000-0000-0000C2030000}"/>
    <cellStyle name="Euro 9 4" xfId="952" xr:uid="{00000000-0005-0000-0000-0000C3030000}"/>
    <cellStyle name="Euro 9 4 2" xfId="953" xr:uid="{00000000-0005-0000-0000-0000C4030000}"/>
    <cellStyle name="Euro 9 4 2 2" xfId="2315" xr:uid="{00000000-0005-0000-0000-0000C5030000}"/>
    <cellStyle name="Euro 9 4 3" xfId="2314" xr:uid="{00000000-0005-0000-0000-0000C6030000}"/>
    <cellStyle name="Euro 9 5" xfId="954" xr:uid="{00000000-0005-0000-0000-0000C7030000}"/>
    <cellStyle name="Fixed2 - Type2" xfId="7" xr:uid="{00000000-0005-0000-0000-0000C8030000}"/>
    <cellStyle name="Followed Hyperlink" xfId="4491" builtinId="9" hidden="1"/>
    <cellStyle name="Good 2" xfId="3374" xr:uid="{00000000-0005-0000-0000-0000CA030000}"/>
    <cellStyle name="Hyperlink" xfId="4490" builtinId="8" hidden="1"/>
    <cellStyle name="Hyperlink" xfId="7722" builtinId="8"/>
    <cellStyle name="Hyperlink 2" xfId="955" xr:uid="{00000000-0005-0000-0000-0000CC030000}"/>
    <cellStyle name="Hyperlink 2 2" xfId="3375" xr:uid="{00000000-0005-0000-0000-0000CD030000}"/>
    <cellStyle name="Hyperlink 2 3" xfId="4545" xr:uid="{00000000-0005-0000-0000-0000CE030000}"/>
    <cellStyle name="Input 2" xfId="84" xr:uid="{00000000-0005-0000-0000-0000CF030000}"/>
    <cellStyle name="Input 2 2" xfId="3376" xr:uid="{00000000-0005-0000-0000-0000D0030000}"/>
    <cellStyle name="Input 2 2 2" xfId="3377" xr:uid="{00000000-0005-0000-0000-0000D1030000}"/>
    <cellStyle name="Input 2 2 2 2" xfId="7511" xr:uid="{00000000-0005-0000-0000-0000D2030000}"/>
    <cellStyle name="Input 2 2 2 3" xfId="7583" xr:uid="{00000000-0005-0000-0000-0000D3030000}"/>
    <cellStyle name="Input 2 2 2 4" xfId="7641" xr:uid="{00000000-0005-0000-0000-0000D4030000}"/>
    <cellStyle name="Input 2 2 3" xfId="7510" xr:uid="{00000000-0005-0000-0000-0000D5030000}"/>
    <cellStyle name="Input 2 2 4" xfId="7582" xr:uid="{00000000-0005-0000-0000-0000D6030000}"/>
    <cellStyle name="Input 2 2 5" xfId="7640" xr:uid="{00000000-0005-0000-0000-0000D7030000}"/>
    <cellStyle name="Input 2 3" xfId="3378" xr:uid="{00000000-0005-0000-0000-0000D8030000}"/>
    <cellStyle name="Input 2 3 2" xfId="7512" xr:uid="{00000000-0005-0000-0000-0000D9030000}"/>
    <cellStyle name="Input 2 3 3" xfId="7584" xr:uid="{00000000-0005-0000-0000-0000DA030000}"/>
    <cellStyle name="Input 2 3 4" xfId="7642" xr:uid="{00000000-0005-0000-0000-0000DB030000}"/>
    <cellStyle name="Input 2 4" xfId="7490" xr:uid="{00000000-0005-0000-0000-0000DC030000}"/>
    <cellStyle name="Input 2 5" xfId="7562" xr:uid="{00000000-0005-0000-0000-0000DD030000}"/>
    <cellStyle name="Input 2 6" xfId="7639" xr:uid="{00000000-0005-0000-0000-0000DE030000}"/>
    <cellStyle name="Input 3" xfId="956" xr:uid="{00000000-0005-0000-0000-0000DF030000}"/>
    <cellStyle name="Input 3 2" xfId="3379" xr:uid="{00000000-0005-0000-0000-0000E0030000}"/>
    <cellStyle name="Input 3 2 2" xfId="7513" xr:uid="{00000000-0005-0000-0000-0000E1030000}"/>
    <cellStyle name="Input 3 2 3" xfId="7585" xr:uid="{00000000-0005-0000-0000-0000E2030000}"/>
    <cellStyle name="Input 3 2 4" xfId="7644" xr:uid="{00000000-0005-0000-0000-0000E3030000}"/>
    <cellStyle name="Input 3 3" xfId="3380" xr:uid="{00000000-0005-0000-0000-0000E4030000}"/>
    <cellStyle name="Input 3 4" xfId="7643" xr:uid="{00000000-0005-0000-0000-0000E5030000}"/>
    <cellStyle name="InputCells" xfId="957" xr:uid="{00000000-0005-0000-0000-0000E6030000}"/>
    <cellStyle name="Komma 2" xfId="440" xr:uid="{00000000-0005-0000-0000-0000E7030000}"/>
    <cellStyle name="Komma 2 2" xfId="959" xr:uid="{00000000-0005-0000-0000-0000E8030000}"/>
    <cellStyle name="Komma 2 2 2" xfId="6420" xr:uid="{00000000-0005-0000-0000-0000E9030000}"/>
    <cellStyle name="Komma 2 3" xfId="958" xr:uid="{00000000-0005-0000-0000-0000EA030000}"/>
    <cellStyle name="Komma 2 3 2" xfId="6421" xr:uid="{00000000-0005-0000-0000-0000EB030000}"/>
    <cellStyle name="Komma 2 4" xfId="3381" xr:uid="{00000000-0005-0000-0000-0000EC030000}"/>
    <cellStyle name="Komma 2 4 2" xfId="6422" xr:uid="{00000000-0005-0000-0000-0000ED030000}"/>
    <cellStyle name="Komma 2 4 3" xfId="7335" xr:uid="{00000000-0005-0000-0000-0000EE030000}"/>
    <cellStyle name="Komma 2 4 4" xfId="7468" xr:uid="{00000000-0005-0000-0000-0000EF030000}"/>
    <cellStyle name="Komma 2 5" xfId="5523" xr:uid="{00000000-0005-0000-0000-0000F0030000}"/>
    <cellStyle name="Komma 2 6" xfId="4546" xr:uid="{00000000-0005-0000-0000-0000F1030000}"/>
    <cellStyle name="Komma 3" xfId="441" xr:uid="{00000000-0005-0000-0000-0000F2030000}"/>
    <cellStyle name="Komma 3 2" xfId="961" xr:uid="{00000000-0005-0000-0000-0000F3030000}"/>
    <cellStyle name="Komma 3 3" xfId="960" xr:uid="{00000000-0005-0000-0000-0000F4030000}"/>
    <cellStyle name="Komma 3 4" xfId="6423" xr:uid="{00000000-0005-0000-0000-0000F5030000}"/>
    <cellStyle name="Komma 4" xfId="962" xr:uid="{00000000-0005-0000-0000-0000F6030000}"/>
    <cellStyle name="Komma 4 2" xfId="2316" xr:uid="{00000000-0005-0000-0000-0000F7030000}"/>
    <cellStyle name="Komma 4 2 2" xfId="6425" xr:uid="{00000000-0005-0000-0000-0000F8030000}"/>
    <cellStyle name="Komma 4 2 3" xfId="7348" xr:uid="{00000000-0005-0000-0000-0000F9030000}"/>
    <cellStyle name="Komma 4 2 4" xfId="7481" xr:uid="{00000000-0005-0000-0000-0000FA030000}"/>
    <cellStyle name="Komma 4 3" xfId="6424" xr:uid="{00000000-0005-0000-0000-0000FB030000}"/>
    <cellStyle name="Komma 4 4" xfId="7338" xr:uid="{00000000-0005-0000-0000-0000FC030000}"/>
    <cellStyle name="Komma 4 5" xfId="7471" xr:uid="{00000000-0005-0000-0000-0000FD030000}"/>
    <cellStyle name="Komma 5" xfId="963" xr:uid="{00000000-0005-0000-0000-0000FE030000}"/>
    <cellStyle name="Komma 5 2" xfId="2317" xr:uid="{00000000-0005-0000-0000-0000FF030000}"/>
    <cellStyle name="Komma 5 2 2" xfId="6427" xr:uid="{00000000-0005-0000-0000-000000040000}"/>
    <cellStyle name="Komma 5 3" xfId="6426" xr:uid="{00000000-0005-0000-0000-000001040000}"/>
    <cellStyle name="Komma 6" xfId="5487" xr:uid="{00000000-0005-0000-0000-000002040000}"/>
    <cellStyle name="Kontroller celle" xfId="3382" xr:uid="{00000000-0005-0000-0000-000003040000}"/>
    <cellStyle name="Link 2" xfId="964" xr:uid="{00000000-0005-0000-0000-000004040000}"/>
    <cellStyle name="Link 3" xfId="965" xr:uid="{00000000-0005-0000-0000-000005040000}"/>
    <cellStyle name="Markeringsfarve1" xfId="3383" xr:uid="{00000000-0005-0000-0000-000006040000}"/>
    <cellStyle name="Markeringsfarve2" xfId="3384" xr:uid="{00000000-0005-0000-0000-000007040000}"/>
    <cellStyle name="Markeringsfarve3" xfId="3385" xr:uid="{00000000-0005-0000-0000-000008040000}"/>
    <cellStyle name="Markeringsfarve4" xfId="3386" xr:uid="{00000000-0005-0000-0000-000009040000}"/>
    <cellStyle name="Markeringsfarve5" xfId="3387" xr:uid="{00000000-0005-0000-0000-00000A040000}"/>
    <cellStyle name="Markeringsfarve6" xfId="3388" xr:uid="{00000000-0005-0000-0000-00000B040000}"/>
    <cellStyle name="Migliaia [0] 10" xfId="85" xr:uid="{00000000-0005-0000-0000-00000C040000}"/>
    <cellStyle name="Migliaia [0] 10 2" xfId="2016" xr:uid="{00000000-0005-0000-0000-00000D040000}"/>
    <cellStyle name="Migliaia [0] 10 2 2" xfId="3389" xr:uid="{00000000-0005-0000-0000-00000E040000}"/>
    <cellStyle name="Migliaia [0] 10 2 2 2" xfId="5526" xr:uid="{00000000-0005-0000-0000-00000F040000}"/>
    <cellStyle name="Migliaia [0] 10 2 2 3" xfId="6471" xr:uid="{00000000-0005-0000-0000-000010040000}"/>
    <cellStyle name="Migliaia [0] 10 2 2 4" xfId="4549" xr:uid="{00000000-0005-0000-0000-000011040000}"/>
    <cellStyle name="Migliaia [0] 10 2 3" xfId="3390" xr:uid="{00000000-0005-0000-0000-000012040000}"/>
    <cellStyle name="Migliaia [0] 10 2 4" xfId="5525" xr:uid="{00000000-0005-0000-0000-000013040000}"/>
    <cellStyle name="Migliaia [0] 10 2 5" xfId="6470" xr:uid="{00000000-0005-0000-0000-000014040000}"/>
    <cellStyle name="Migliaia [0] 10 2 6" xfId="4548" xr:uid="{00000000-0005-0000-0000-000015040000}"/>
    <cellStyle name="Migliaia [0] 10 3" xfId="3391" xr:uid="{00000000-0005-0000-0000-000016040000}"/>
    <cellStyle name="Migliaia [0] 10 3 2" xfId="5527" xr:uid="{00000000-0005-0000-0000-000017040000}"/>
    <cellStyle name="Migliaia [0] 10 3 3" xfId="6472" xr:uid="{00000000-0005-0000-0000-000018040000}"/>
    <cellStyle name="Migliaia [0] 10 3 4" xfId="4550" xr:uid="{00000000-0005-0000-0000-000019040000}"/>
    <cellStyle name="Migliaia [0] 10 4" xfId="3392" xr:uid="{00000000-0005-0000-0000-00001A040000}"/>
    <cellStyle name="Migliaia [0] 10 5" xfId="5524" xr:uid="{00000000-0005-0000-0000-00001B040000}"/>
    <cellStyle name="Migliaia [0] 10 6" xfId="6469" xr:uid="{00000000-0005-0000-0000-00001C040000}"/>
    <cellStyle name="Migliaia [0] 10 7" xfId="4547" xr:uid="{00000000-0005-0000-0000-00001D040000}"/>
    <cellStyle name="Migliaia [0] 11" xfId="86" xr:uid="{00000000-0005-0000-0000-00001E040000}"/>
    <cellStyle name="Migliaia [0] 11 2" xfId="2017" xr:uid="{00000000-0005-0000-0000-00001F040000}"/>
    <cellStyle name="Migliaia [0] 11 2 2" xfId="3393" xr:uid="{00000000-0005-0000-0000-000020040000}"/>
    <cellStyle name="Migliaia [0] 11 2 2 2" xfId="5530" xr:uid="{00000000-0005-0000-0000-000021040000}"/>
    <cellStyle name="Migliaia [0] 11 2 2 3" xfId="6475" xr:uid="{00000000-0005-0000-0000-000022040000}"/>
    <cellStyle name="Migliaia [0] 11 2 2 4" xfId="4553" xr:uid="{00000000-0005-0000-0000-000023040000}"/>
    <cellStyle name="Migliaia [0] 11 2 3" xfId="3394" xr:uid="{00000000-0005-0000-0000-000024040000}"/>
    <cellStyle name="Migliaia [0] 11 2 4" xfId="5529" xr:uid="{00000000-0005-0000-0000-000025040000}"/>
    <cellStyle name="Migliaia [0] 11 2 5" xfId="6474" xr:uid="{00000000-0005-0000-0000-000026040000}"/>
    <cellStyle name="Migliaia [0] 11 2 6" xfId="4552" xr:uid="{00000000-0005-0000-0000-000027040000}"/>
    <cellStyle name="Migliaia [0] 11 3" xfId="3395" xr:uid="{00000000-0005-0000-0000-000028040000}"/>
    <cellStyle name="Migliaia [0] 11 3 2" xfId="5531" xr:uid="{00000000-0005-0000-0000-000029040000}"/>
    <cellStyle name="Migliaia [0] 11 3 3" xfId="6476" xr:uid="{00000000-0005-0000-0000-00002A040000}"/>
    <cellStyle name="Migliaia [0] 11 3 4" xfId="4554" xr:uid="{00000000-0005-0000-0000-00002B040000}"/>
    <cellStyle name="Migliaia [0] 11 4" xfId="3396" xr:uid="{00000000-0005-0000-0000-00002C040000}"/>
    <cellStyle name="Migliaia [0] 11 5" xfId="5528" xr:uid="{00000000-0005-0000-0000-00002D040000}"/>
    <cellStyle name="Migliaia [0] 11 6" xfId="6473" xr:uid="{00000000-0005-0000-0000-00002E040000}"/>
    <cellStyle name="Migliaia [0] 11 7" xfId="4551" xr:uid="{00000000-0005-0000-0000-00002F040000}"/>
    <cellStyle name="Migliaia [0] 12" xfId="87" xr:uid="{00000000-0005-0000-0000-000030040000}"/>
    <cellStyle name="Migliaia [0] 12 2" xfId="2018" xr:uid="{00000000-0005-0000-0000-000031040000}"/>
    <cellStyle name="Migliaia [0] 12 2 2" xfId="3397" xr:uid="{00000000-0005-0000-0000-000032040000}"/>
    <cellStyle name="Migliaia [0] 12 2 2 2" xfId="5534" xr:uid="{00000000-0005-0000-0000-000033040000}"/>
    <cellStyle name="Migliaia [0] 12 2 2 3" xfId="6479" xr:uid="{00000000-0005-0000-0000-000034040000}"/>
    <cellStyle name="Migliaia [0] 12 2 2 4" xfId="4557" xr:uid="{00000000-0005-0000-0000-000035040000}"/>
    <cellStyle name="Migliaia [0] 12 2 3" xfId="3398" xr:uid="{00000000-0005-0000-0000-000036040000}"/>
    <cellStyle name="Migliaia [0] 12 2 4" xfId="5533" xr:uid="{00000000-0005-0000-0000-000037040000}"/>
    <cellStyle name="Migliaia [0] 12 2 5" xfId="6478" xr:uid="{00000000-0005-0000-0000-000038040000}"/>
    <cellStyle name="Migliaia [0] 12 2 6" xfId="4556" xr:uid="{00000000-0005-0000-0000-000039040000}"/>
    <cellStyle name="Migliaia [0] 12 3" xfId="3399" xr:uid="{00000000-0005-0000-0000-00003A040000}"/>
    <cellStyle name="Migliaia [0] 12 3 2" xfId="5535" xr:uid="{00000000-0005-0000-0000-00003B040000}"/>
    <cellStyle name="Migliaia [0] 12 3 3" xfId="6480" xr:uid="{00000000-0005-0000-0000-00003C040000}"/>
    <cellStyle name="Migliaia [0] 12 3 4" xfId="4558" xr:uid="{00000000-0005-0000-0000-00003D040000}"/>
    <cellStyle name="Migliaia [0] 12 4" xfId="3400" xr:uid="{00000000-0005-0000-0000-00003E040000}"/>
    <cellStyle name="Migliaia [0] 12 5" xfId="5532" xr:uid="{00000000-0005-0000-0000-00003F040000}"/>
    <cellStyle name="Migliaia [0] 12 6" xfId="6477" xr:uid="{00000000-0005-0000-0000-000040040000}"/>
    <cellStyle name="Migliaia [0] 12 7" xfId="4555" xr:uid="{00000000-0005-0000-0000-000041040000}"/>
    <cellStyle name="Migliaia [0] 13" xfId="88" xr:uid="{00000000-0005-0000-0000-000042040000}"/>
    <cellStyle name="Migliaia [0] 13 2" xfId="2019" xr:uid="{00000000-0005-0000-0000-000043040000}"/>
    <cellStyle name="Migliaia [0] 13 2 2" xfId="3401" xr:uid="{00000000-0005-0000-0000-000044040000}"/>
    <cellStyle name="Migliaia [0] 13 2 2 2" xfId="5538" xr:uid="{00000000-0005-0000-0000-000045040000}"/>
    <cellStyle name="Migliaia [0] 13 2 2 3" xfId="6483" xr:uid="{00000000-0005-0000-0000-000046040000}"/>
    <cellStyle name="Migliaia [0] 13 2 2 4" xfId="4561" xr:uid="{00000000-0005-0000-0000-000047040000}"/>
    <cellStyle name="Migliaia [0] 13 2 3" xfId="3402" xr:uid="{00000000-0005-0000-0000-000048040000}"/>
    <cellStyle name="Migliaia [0] 13 2 4" xfId="5537" xr:uid="{00000000-0005-0000-0000-000049040000}"/>
    <cellStyle name="Migliaia [0] 13 2 5" xfId="6482" xr:uid="{00000000-0005-0000-0000-00004A040000}"/>
    <cellStyle name="Migliaia [0] 13 2 6" xfId="4560" xr:uid="{00000000-0005-0000-0000-00004B040000}"/>
    <cellStyle name="Migliaia [0] 13 3" xfId="3403" xr:uid="{00000000-0005-0000-0000-00004C040000}"/>
    <cellStyle name="Migliaia [0] 13 3 2" xfId="5539" xr:uid="{00000000-0005-0000-0000-00004D040000}"/>
    <cellStyle name="Migliaia [0] 13 3 3" xfId="6484" xr:uid="{00000000-0005-0000-0000-00004E040000}"/>
    <cellStyle name="Migliaia [0] 13 3 4" xfId="4562" xr:uid="{00000000-0005-0000-0000-00004F040000}"/>
    <cellStyle name="Migliaia [0] 13 4" xfId="3404" xr:uid="{00000000-0005-0000-0000-000050040000}"/>
    <cellStyle name="Migliaia [0] 13 5" xfId="5536" xr:uid="{00000000-0005-0000-0000-000051040000}"/>
    <cellStyle name="Migliaia [0] 13 6" xfId="6481" xr:uid="{00000000-0005-0000-0000-000052040000}"/>
    <cellStyle name="Migliaia [0] 13 7" xfId="4559" xr:uid="{00000000-0005-0000-0000-000053040000}"/>
    <cellStyle name="Migliaia [0] 14" xfId="89" xr:uid="{00000000-0005-0000-0000-000054040000}"/>
    <cellStyle name="Migliaia [0] 14 2" xfId="2020" xr:uid="{00000000-0005-0000-0000-000055040000}"/>
    <cellStyle name="Migliaia [0] 14 2 2" xfId="3405" xr:uid="{00000000-0005-0000-0000-000056040000}"/>
    <cellStyle name="Migliaia [0] 14 2 2 2" xfId="5542" xr:uid="{00000000-0005-0000-0000-000057040000}"/>
    <cellStyle name="Migliaia [0] 14 2 2 3" xfId="6487" xr:uid="{00000000-0005-0000-0000-000058040000}"/>
    <cellStyle name="Migliaia [0] 14 2 2 4" xfId="4565" xr:uid="{00000000-0005-0000-0000-000059040000}"/>
    <cellStyle name="Migliaia [0] 14 2 3" xfId="3406" xr:uid="{00000000-0005-0000-0000-00005A040000}"/>
    <cellStyle name="Migliaia [0] 14 2 4" xfId="5541" xr:uid="{00000000-0005-0000-0000-00005B040000}"/>
    <cellStyle name="Migliaia [0] 14 2 5" xfId="6486" xr:uid="{00000000-0005-0000-0000-00005C040000}"/>
    <cellStyle name="Migliaia [0] 14 2 6" xfId="4564" xr:uid="{00000000-0005-0000-0000-00005D040000}"/>
    <cellStyle name="Migliaia [0] 14 3" xfId="3407" xr:uid="{00000000-0005-0000-0000-00005E040000}"/>
    <cellStyle name="Migliaia [0] 14 3 2" xfId="5543" xr:uid="{00000000-0005-0000-0000-00005F040000}"/>
    <cellStyle name="Migliaia [0] 14 3 3" xfId="6488" xr:uid="{00000000-0005-0000-0000-000060040000}"/>
    <cellStyle name="Migliaia [0] 14 3 4" xfId="4566" xr:uid="{00000000-0005-0000-0000-000061040000}"/>
    <cellStyle name="Migliaia [0] 14 4" xfId="3408" xr:uid="{00000000-0005-0000-0000-000062040000}"/>
    <cellStyle name="Migliaia [0] 14 5" xfId="5540" xr:uid="{00000000-0005-0000-0000-000063040000}"/>
    <cellStyle name="Migliaia [0] 14 6" xfId="6485" xr:uid="{00000000-0005-0000-0000-000064040000}"/>
    <cellStyle name="Migliaia [0] 14 7" xfId="4563" xr:uid="{00000000-0005-0000-0000-000065040000}"/>
    <cellStyle name="Migliaia [0] 15" xfId="90" xr:uid="{00000000-0005-0000-0000-000066040000}"/>
    <cellStyle name="Migliaia [0] 15 2" xfId="2021" xr:uid="{00000000-0005-0000-0000-000067040000}"/>
    <cellStyle name="Migliaia [0] 15 2 2" xfId="3409" xr:uid="{00000000-0005-0000-0000-000068040000}"/>
    <cellStyle name="Migliaia [0] 15 2 2 2" xfId="5546" xr:uid="{00000000-0005-0000-0000-000069040000}"/>
    <cellStyle name="Migliaia [0] 15 2 2 3" xfId="6491" xr:uid="{00000000-0005-0000-0000-00006A040000}"/>
    <cellStyle name="Migliaia [0] 15 2 2 4" xfId="4569" xr:uid="{00000000-0005-0000-0000-00006B040000}"/>
    <cellStyle name="Migliaia [0] 15 2 3" xfId="3410" xr:uid="{00000000-0005-0000-0000-00006C040000}"/>
    <cellStyle name="Migliaia [0] 15 2 4" xfId="5545" xr:uid="{00000000-0005-0000-0000-00006D040000}"/>
    <cellStyle name="Migliaia [0] 15 2 5" xfId="6490" xr:uid="{00000000-0005-0000-0000-00006E040000}"/>
    <cellStyle name="Migliaia [0] 15 2 6" xfId="4568" xr:uid="{00000000-0005-0000-0000-00006F040000}"/>
    <cellStyle name="Migliaia [0] 15 3" xfId="3411" xr:uid="{00000000-0005-0000-0000-000070040000}"/>
    <cellStyle name="Migliaia [0] 15 3 2" xfId="5547" xr:uid="{00000000-0005-0000-0000-000071040000}"/>
    <cellStyle name="Migliaia [0] 15 3 3" xfId="6492" xr:uid="{00000000-0005-0000-0000-000072040000}"/>
    <cellStyle name="Migliaia [0] 15 3 4" xfId="4570" xr:uid="{00000000-0005-0000-0000-000073040000}"/>
    <cellStyle name="Migliaia [0] 15 4" xfId="3412" xr:uid="{00000000-0005-0000-0000-000074040000}"/>
    <cellStyle name="Migliaia [0] 15 5" xfId="5544" xr:uid="{00000000-0005-0000-0000-000075040000}"/>
    <cellStyle name="Migliaia [0] 15 6" xfId="6489" xr:uid="{00000000-0005-0000-0000-000076040000}"/>
    <cellStyle name="Migliaia [0] 15 7" xfId="4567" xr:uid="{00000000-0005-0000-0000-000077040000}"/>
    <cellStyle name="Migliaia [0] 16" xfId="91" xr:uid="{00000000-0005-0000-0000-000078040000}"/>
    <cellStyle name="Migliaia [0] 16 2" xfId="2022" xr:uid="{00000000-0005-0000-0000-000079040000}"/>
    <cellStyle name="Migliaia [0] 16 2 2" xfId="3413" xr:uid="{00000000-0005-0000-0000-00007A040000}"/>
    <cellStyle name="Migliaia [0] 16 2 2 2" xfId="5550" xr:uid="{00000000-0005-0000-0000-00007B040000}"/>
    <cellStyle name="Migliaia [0] 16 2 2 3" xfId="6495" xr:uid="{00000000-0005-0000-0000-00007C040000}"/>
    <cellStyle name="Migliaia [0] 16 2 2 4" xfId="4573" xr:uid="{00000000-0005-0000-0000-00007D040000}"/>
    <cellStyle name="Migliaia [0] 16 2 3" xfId="3414" xr:uid="{00000000-0005-0000-0000-00007E040000}"/>
    <cellStyle name="Migliaia [0] 16 2 4" xfId="5549" xr:uid="{00000000-0005-0000-0000-00007F040000}"/>
    <cellStyle name="Migliaia [0] 16 2 5" xfId="6494" xr:uid="{00000000-0005-0000-0000-000080040000}"/>
    <cellStyle name="Migliaia [0] 16 2 6" xfId="4572" xr:uid="{00000000-0005-0000-0000-000081040000}"/>
    <cellStyle name="Migliaia [0] 16 3" xfId="3415" xr:uid="{00000000-0005-0000-0000-000082040000}"/>
    <cellStyle name="Migliaia [0] 16 3 2" xfId="5551" xr:uid="{00000000-0005-0000-0000-000083040000}"/>
    <cellStyle name="Migliaia [0] 16 3 3" xfId="6496" xr:uid="{00000000-0005-0000-0000-000084040000}"/>
    <cellStyle name="Migliaia [0] 16 3 4" xfId="4574" xr:uid="{00000000-0005-0000-0000-000085040000}"/>
    <cellStyle name="Migliaia [0] 16 4" xfId="3416" xr:uid="{00000000-0005-0000-0000-000086040000}"/>
    <cellStyle name="Migliaia [0] 16 5" xfId="5548" xr:uid="{00000000-0005-0000-0000-000087040000}"/>
    <cellStyle name="Migliaia [0] 16 6" xfId="6493" xr:uid="{00000000-0005-0000-0000-000088040000}"/>
    <cellStyle name="Migliaia [0] 16 7" xfId="4571" xr:uid="{00000000-0005-0000-0000-000089040000}"/>
    <cellStyle name="Migliaia [0] 17" xfId="92" xr:uid="{00000000-0005-0000-0000-00008A040000}"/>
    <cellStyle name="Migliaia [0] 17 2" xfId="2023" xr:uid="{00000000-0005-0000-0000-00008B040000}"/>
    <cellStyle name="Migliaia [0] 17 2 2" xfId="3417" xr:uid="{00000000-0005-0000-0000-00008C040000}"/>
    <cellStyle name="Migliaia [0] 17 2 2 2" xfId="5554" xr:uid="{00000000-0005-0000-0000-00008D040000}"/>
    <cellStyle name="Migliaia [0] 17 2 2 3" xfId="6499" xr:uid="{00000000-0005-0000-0000-00008E040000}"/>
    <cellStyle name="Migliaia [0] 17 2 2 4" xfId="4577" xr:uid="{00000000-0005-0000-0000-00008F040000}"/>
    <cellStyle name="Migliaia [0] 17 2 3" xfId="3418" xr:uid="{00000000-0005-0000-0000-000090040000}"/>
    <cellStyle name="Migliaia [0] 17 2 4" xfId="5553" xr:uid="{00000000-0005-0000-0000-000091040000}"/>
    <cellStyle name="Migliaia [0] 17 2 5" xfId="6498" xr:uid="{00000000-0005-0000-0000-000092040000}"/>
    <cellStyle name="Migliaia [0] 17 2 6" xfId="4576" xr:uid="{00000000-0005-0000-0000-000093040000}"/>
    <cellStyle name="Migliaia [0] 17 3" xfId="3419" xr:uid="{00000000-0005-0000-0000-000094040000}"/>
    <cellStyle name="Migliaia [0] 17 3 2" xfId="5555" xr:uid="{00000000-0005-0000-0000-000095040000}"/>
    <cellStyle name="Migliaia [0] 17 3 3" xfId="6500" xr:uid="{00000000-0005-0000-0000-000096040000}"/>
    <cellStyle name="Migliaia [0] 17 3 4" xfId="4578" xr:uid="{00000000-0005-0000-0000-000097040000}"/>
    <cellStyle name="Migliaia [0] 17 4" xfId="3420" xr:uid="{00000000-0005-0000-0000-000098040000}"/>
    <cellStyle name="Migliaia [0] 17 5" xfId="5552" xr:uid="{00000000-0005-0000-0000-000099040000}"/>
    <cellStyle name="Migliaia [0] 17 6" xfId="6497" xr:uid="{00000000-0005-0000-0000-00009A040000}"/>
    <cellStyle name="Migliaia [0] 17 7" xfId="4575" xr:uid="{00000000-0005-0000-0000-00009B040000}"/>
    <cellStyle name="Migliaia [0] 18" xfId="93" xr:uid="{00000000-0005-0000-0000-00009C040000}"/>
    <cellStyle name="Migliaia [0] 18 2" xfId="2024" xr:uid="{00000000-0005-0000-0000-00009D040000}"/>
    <cellStyle name="Migliaia [0] 18 2 2" xfId="3421" xr:uid="{00000000-0005-0000-0000-00009E040000}"/>
    <cellStyle name="Migliaia [0] 18 2 2 2" xfId="5558" xr:uid="{00000000-0005-0000-0000-00009F040000}"/>
    <cellStyle name="Migliaia [0] 18 2 2 3" xfId="6503" xr:uid="{00000000-0005-0000-0000-0000A0040000}"/>
    <cellStyle name="Migliaia [0] 18 2 2 4" xfId="4581" xr:uid="{00000000-0005-0000-0000-0000A1040000}"/>
    <cellStyle name="Migliaia [0] 18 2 3" xfId="3422" xr:uid="{00000000-0005-0000-0000-0000A2040000}"/>
    <cellStyle name="Migliaia [0] 18 2 4" xfId="5557" xr:uid="{00000000-0005-0000-0000-0000A3040000}"/>
    <cellStyle name="Migliaia [0] 18 2 5" xfId="6502" xr:uid="{00000000-0005-0000-0000-0000A4040000}"/>
    <cellStyle name="Migliaia [0] 18 2 6" xfId="4580" xr:uid="{00000000-0005-0000-0000-0000A5040000}"/>
    <cellStyle name="Migliaia [0] 18 3" xfId="3423" xr:uid="{00000000-0005-0000-0000-0000A6040000}"/>
    <cellStyle name="Migliaia [0] 18 3 2" xfId="5559" xr:uid="{00000000-0005-0000-0000-0000A7040000}"/>
    <cellStyle name="Migliaia [0] 18 3 3" xfId="6504" xr:uid="{00000000-0005-0000-0000-0000A8040000}"/>
    <cellStyle name="Migliaia [0] 18 3 4" xfId="4582" xr:uid="{00000000-0005-0000-0000-0000A9040000}"/>
    <cellStyle name="Migliaia [0] 18 4" xfId="3424" xr:uid="{00000000-0005-0000-0000-0000AA040000}"/>
    <cellStyle name="Migliaia [0] 18 5" xfId="5556" xr:uid="{00000000-0005-0000-0000-0000AB040000}"/>
    <cellStyle name="Migliaia [0] 18 6" xfId="6501" xr:uid="{00000000-0005-0000-0000-0000AC040000}"/>
    <cellStyle name="Migliaia [0] 18 7" xfId="4579" xr:uid="{00000000-0005-0000-0000-0000AD040000}"/>
    <cellStyle name="Migliaia [0] 19" xfId="94" xr:uid="{00000000-0005-0000-0000-0000AE040000}"/>
    <cellStyle name="Migliaia [0] 19 2" xfId="2025" xr:uid="{00000000-0005-0000-0000-0000AF040000}"/>
    <cellStyle name="Migliaia [0] 19 2 2" xfId="3425" xr:uid="{00000000-0005-0000-0000-0000B0040000}"/>
    <cellStyle name="Migliaia [0] 19 2 2 2" xfId="5562" xr:uid="{00000000-0005-0000-0000-0000B1040000}"/>
    <cellStyle name="Migliaia [0] 19 2 2 3" xfId="6507" xr:uid="{00000000-0005-0000-0000-0000B2040000}"/>
    <cellStyle name="Migliaia [0] 19 2 2 4" xfId="4585" xr:uid="{00000000-0005-0000-0000-0000B3040000}"/>
    <cellStyle name="Migliaia [0] 19 2 3" xfId="3426" xr:uid="{00000000-0005-0000-0000-0000B4040000}"/>
    <cellStyle name="Migliaia [0] 19 2 4" xfId="5561" xr:uid="{00000000-0005-0000-0000-0000B5040000}"/>
    <cellStyle name="Migliaia [0] 19 2 5" xfId="6506" xr:uid="{00000000-0005-0000-0000-0000B6040000}"/>
    <cellStyle name="Migliaia [0] 19 2 6" xfId="4584" xr:uid="{00000000-0005-0000-0000-0000B7040000}"/>
    <cellStyle name="Migliaia [0] 19 3" xfId="3427" xr:uid="{00000000-0005-0000-0000-0000B8040000}"/>
    <cellStyle name="Migliaia [0] 19 3 2" xfId="5563" xr:uid="{00000000-0005-0000-0000-0000B9040000}"/>
    <cellStyle name="Migliaia [0] 19 3 3" xfId="6508" xr:uid="{00000000-0005-0000-0000-0000BA040000}"/>
    <cellStyle name="Migliaia [0] 19 3 4" xfId="4586" xr:uid="{00000000-0005-0000-0000-0000BB040000}"/>
    <cellStyle name="Migliaia [0] 19 4" xfId="3428" xr:uid="{00000000-0005-0000-0000-0000BC040000}"/>
    <cellStyle name="Migliaia [0] 19 5" xfId="5560" xr:uid="{00000000-0005-0000-0000-0000BD040000}"/>
    <cellStyle name="Migliaia [0] 19 6" xfId="6505" xr:uid="{00000000-0005-0000-0000-0000BE040000}"/>
    <cellStyle name="Migliaia [0] 19 7" xfId="4583" xr:uid="{00000000-0005-0000-0000-0000BF040000}"/>
    <cellStyle name="Migliaia [0] 2" xfId="95" xr:uid="{00000000-0005-0000-0000-0000C0040000}"/>
    <cellStyle name="Migliaia [0] 2 2" xfId="2026" xr:uid="{00000000-0005-0000-0000-0000C1040000}"/>
    <cellStyle name="Migliaia [0] 2 2 2" xfId="3429" xr:uid="{00000000-0005-0000-0000-0000C2040000}"/>
    <cellStyle name="Migliaia [0] 2 2 2 2" xfId="5566" xr:uid="{00000000-0005-0000-0000-0000C3040000}"/>
    <cellStyle name="Migliaia [0] 2 2 2 3" xfId="6511" xr:uid="{00000000-0005-0000-0000-0000C4040000}"/>
    <cellStyle name="Migliaia [0] 2 2 2 4" xfId="4589" xr:uid="{00000000-0005-0000-0000-0000C5040000}"/>
    <cellStyle name="Migliaia [0] 2 2 3" xfId="3430" xr:uid="{00000000-0005-0000-0000-0000C6040000}"/>
    <cellStyle name="Migliaia [0] 2 2 4" xfId="5565" xr:uid="{00000000-0005-0000-0000-0000C7040000}"/>
    <cellStyle name="Migliaia [0] 2 2 5" xfId="6510" xr:uid="{00000000-0005-0000-0000-0000C8040000}"/>
    <cellStyle name="Migliaia [0] 2 2 6" xfId="4588" xr:uid="{00000000-0005-0000-0000-0000C9040000}"/>
    <cellStyle name="Migliaia [0] 2 3" xfId="3431" xr:uid="{00000000-0005-0000-0000-0000CA040000}"/>
    <cellStyle name="Migliaia [0] 2 3 2" xfId="5567" xr:uid="{00000000-0005-0000-0000-0000CB040000}"/>
    <cellStyle name="Migliaia [0] 2 3 3" xfId="6512" xr:uid="{00000000-0005-0000-0000-0000CC040000}"/>
    <cellStyle name="Migliaia [0] 2 3 4" xfId="4590" xr:uid="{00000000-0005-0000-0000-0000CD040000}"/>
    <cellStyle name="Migliaia [0] 2 4" xfId="3432" xr:uid="{00000000-0005-0000-0000-0000CE040000}"/>
    <cellStyle name="Migliaia [0] 2 5" xfId="5564" xr:uid="{00000000-0005-0000-0000-0000CF040000}"/>
    <cellStyle name="Migliaia [0] 2 6" xfId="6509" xr:uid="{00000000-0005-0000-0000-0000D0040000}"/>
    <cellStyle name="Migliaia [0] 2 7" xfId="4587" xr:uid="{00000000-0005-0000-0000-0000D1040000}"/>
    <cellStyle name="Migliaia [0] 20" xfId="96" xr:uid="{00000000-0005-0000-0000-0000D2040000}"/>
    <cellStyle name="Migliaia [0] 20 2" xfId="2027" xr:uid="{00000000-0005-0000-0000-0000D3040000}"/>
    <cellStyle name="Migliaia [0] 20 2 2" xfId="3433" xr:uid="{00000000-0005-0000-0000-0000D4040000}"/>
    <cellStyle name="Migliaia [0] 20 2 2 2" xfId="5570" xr:uid="{00000000-0005-0000-0000-0000D5040000}"/>
    <cellStyle name="Migliaia [0] 20 2 2 3" xfId="6515" xr:uid="{00000000-0005-0000-0000-0000D6040000}"/>
    <cellStyle name="Migliaia [0] 20 2 2 4" xfId="4593" xr:uid="{00000000-0005-0000-0000-0000D7040000}"/>
    <cellStyle name="Migliaia [0] 20 2 3" xfId="3434" xr:uid="{00000000-0005-0000-0000-0000D8040000}"/>
    <cellStyle name="Migliaia [0] 20 2 4" xfId="5569" xr:uid="{00000000-0005-0000-0000-0000D9040000}"/>
    <cellStyle name="Migliaia [0] 20 2 5" xfId="6514" xr:uid="{00000000-0005-0000-0000-0000DA040000}"/>
    <cellStyle name="Migliaia [0] 20 2 6" xfId="4592" xr:uid="{00000000-0005-0000-0000-0000DB040000}"/>
    <cellStyle name="Migliaia [0] 20 3" xfId="3435" xr:uid="{00000000-0005-0000-0000-0000DC040000}"/>
    <cellStyle name="Migliaia [0] 20 3 2" xfId="5571" xr:uid="{00000000-0005-0000-0000-0000DD040000}"/>
    <cellStyle name="Migliaia [0] 20 3 3" xfId="6516" xr:uid="{00000000-0005-0000-0000-0000DE040000}"/>
    <cellStyle name="Migliaia [0] 20 3 4" xfId="4594" xr:uid="{00000000-0005-0000-0000-0000DF040000}"/>
    <cellStyle name="Migliaia [0] 20 4" xfId="3436" xr:uid="{00000000-0005-0000-0000-0000E0040000}"/>
    <cellStyle name="Migliaia [0] 20 5" xfId="5568" xr:uid="{00000000-0005-0000-0000-0000E1040000}"/>
    <cellStyle name="Migliaia [0] 20 6" xfId="6513" xr:uid="{00000000-0005-0000-0000-0000E2040000}"/>
    <cellStyle name="Migliaia [0] 20 7" xfId="4591" xr:uid="{00000000-0005-0000-0000-0000E3040000}"/>
    <cellStyle name="Migliaia [0] 21" xfId="97" xr:uid="{00000000-0005-0000-0000-0000E4040000}"/>
    <cellStyle name="Migliaia [0] 21 2" xfId="2028" xr:uid="{00000000-0005-0000-0000-0000E5040000}"/>
    <cellStyle name="Migliaia [0] 21 2 2" xfId="3437" xr:uid="{00000000-0005-0000-0000-0000E6040000}"/>
    <cellStyle name="Migliaia [0] 21 2 2 2" xfId="5574" xr:uid="{00000000-0005-0000-0000-0000E7040000}"/>
    <cellStyle name="Migliaia [0] 21 2 2 3" xfId="6519" xr:uid="{00000000-0005-0000-0000-0000E8040000}"/>
    <cellStyle name="Migliaia [0] 21 2 2 4" xfId="4597" xr:uid="{00000000-0005-0000-0000-0000E9040000}"/>
    <cellStyle name="Migliaia [0] 21 2 3" xfId="3438" xr:uid="{00000000-0005-0000-0000-0000EA040000}"/>
    <cellStyle name="Migliaia [0] 21 2 4" xfId="5573" xr:uid="{00000000-0005-0000-0000-0000EB040000}"/>
    <cellStyle name="Migliaia [0] 21 2 5" xfId="6518" xr:uid="{00000000-0005-0000-0000-0000EC040000}"/>
    <cellStyle name="Migliaia [0] 21 2 6" xfId="4596" xr:uid="{00000000-0005-0000-0000-0000ED040000}"/>
    <cellStyle name="Migliaia [0] 21 3" xfId="3439" xr:uid="{00000000-0005-0000-0000-0000EE040000}"/>
    <cellStyle name="Migliaia [0] 21 3 2" xfId="5575" xr:uid="{00000000-0005-0000-0000-0000EF040000}"/>
    <cellStyle name="Migliaia [0] 21 3 3" xfId="6520" xr:uid="{00000000-0005-0000-0000-0000F0040000}"/>
    <cellStyle name="Migliaia [0] 21 3 4" xfId="4598" xr:uid="{00000000-0005-0000-0000-0000F1040000}"/>
    <cellStyle name="Migliaia [0] 21 4" xfId="3440" xr:uid="{00000000-0005-0000-0000-0000F2040000}"/>
    <cellStyle name="Migliaia [0] 21 5" xfId="5572" xr:uid="{00000000-0005-0000-0000-0000F3040000}"/>
    <cellStyle name="Migliaia [0] 21 6" xfId="6517" xr:uid="{00000000-0005-0000-0000-0000F4040000}"/>
    <cellStyle name="Migliaia [0] 21 7" xfId="4595" xr:uid="{00000000-0005-0000-0000-0000F5040000}"/>
    <cellStyle name="Migliaia [0] 22" xfId="98" xr:uid="{00000000-0005-0000-0000-0000F6040000}"/>
    <cellStyle name="Migliaia [0] 22 2" xfId="2029" xr:uid="{00000000-0005-0000-0000-0000F7040000}"/>
    <cellStyle name="Migliaia [0] 22 2 2" xfId="3441" xr:uid="{00000000-0005-0000-0000-0000F8040000}"/>
    <cellStyle name="Migliaia [0] 22 2 2 2" xfId="5578" xr:uid="{00000000-0005-0000-0000-0000F9040000}"/>
    <cellStyle name="Migliaia [0] 22 2 2 3" xfId="6523" xr:uid="{00000000-0005-0000-0000-0000FA040000}"/>
    <cellStyle name="Migliaia [0] 22 2 2 4" xfId="4601" xr:uid="{00000000-0005-0000-0000-0000FB040000}"/>
    <cellStyle name="Migliaia [0] 22 2 3" xfId="3442" xr:uid="{00000000-0005-0000-0000-0000FC040000}"/>
    <cellStyle name="Migliaia [0] 22 2 4" xfId="5577" xr:uid="{00000000-0005-0000-0000-0000FD040000}"/>
    <cellStyle name="Migliaia [0] 22 2 5" xfId="6522" xr:uid="{00000000-0005-0000-0000-0000FE040000}"/>
    <cellStyle name="Migliaia [0] 22 2 6" xfId="4600" xr:uid="{00000000-0005-0000-0000-0000FF040000}"/>
    <cellStyle name="Migliaia [0] 22 3" xfId="3443" xr:uid="{00000000-0005-0000-0000-000000050000}"/>
    <cellStyle name="Migliaia [0] 22 3 2" xfId="5579" xr:uid="{00000000-0005-0000-0000-000001050000}"/>
    <cellStyle name="Migliaia [0] 22 3 3" xfId="6524" xr:uid="{00000000-0005-0000-0000-000002050000}"/>
    <cellStyle name="Migliaia [0] 22 3 4" xfId="4602" xr:uid="{00000000-0005-0000-0000-000003050000}"/>
    <cellStyle name="Migliaia [0] 22 4" xfId="3444" xr:uid="{00000000-0005-0000-0000-000004050000}"/>
    <cellStyle name="Migliaia [0] 22 5" xfId="5576" xr:uid="{00000000-0005-0000-0000-000005050000}"/>
    <cellStyle name="Migliaia [0] 22 6" xfId="6521" xr:uid="{00000000-0005-0000-0000-000006050000}"/>
    <cellStyle name="Migliaia [0] 22 7" xfId="4599" xr:uid="{00000000-0005-0000-0000-000007050000}"/>
    <cellStyle name="Migliaia [0] 23" xfId="99" xr:uid="{00000000-0005-0000-0000-000008050000}"/>
    <cellStyle name="Migliaia [0] 23 2" xfId="2030" xr:uid="{00000000-0005-0000-0000-000009050000}"/>
    <cellStyle name="Migliaia [0] 23 2 2" xfId="3445" xr:uid="{00000000-0005-0000-0000-00000A050000}"/>
    <cellStyle name="Migliaia [0] 23 2 2 2" xfId="5582" xr:uid="{00000000-0005-0000-0000-00000B050000}"/>
    <cellStyle name="Migliaia [0] 23 2 2 3" xfId="6527" xr:uid="{00000000-0005-0000-0000-00000C050000}"/>
    <cellStyle name="Migliaia [0] 23 2 2 4" xfId="4605" xr:uid="{00000000-0005-0000-0000-00000D050000}"/>
    <cellStyle name="Migliaia [0] 23 2 3" xfId="3446" xr:uid="{00000000-0005-0000-0000-00000E050000}"/>
    <cellStyle name="Migliaia [0] 23 2 4" xfId="5581" xr:uid="{00000000-0005-0000-0000-00000F050000}"/>
    <cellStyle name="Migliaia [0] 23 2 5" xfId="6526" xr:uid="{00000000-0005-0000-0000-000010050000}"/>
    <cellStyle name="Migliaia [0] 23 2 6" xfId="4604" xr:uid="{00000000-0005-0000-0000-000011050000}"/>
    <cellStyle name="Migliaia [0] 23 3" xfId="3447" xr:uid="{00000000-0005-0000-0000-000012050000}"/>
    <cellStyle name="Migliaia [0] 23 3 2" xfId="5583" xr:uid="{00000000-0005-0000-0000-000013050000}"/>
    <cellStyle name="Migliaia [0] 23 3 3" xfId="6528" xr:uid="{00000000-0005-0000-0000-000014050000}"/>
    <cellStyle name="Migliaia [0] 23 3 4" xfId="4606" xr:uid="{00000000-0005-0000-0000-000015050000}"/>
    <cellStyle name="Migliaia [0] 23 4" xfId="3448" xr:uid="{00000000-0005-0000-0000-000016050000}"/>
    <cellStyle name="Migliaia [0] 23 5" xfId="5580" xr:uid="{00000000-0005-0000-0000-000017050000}"/>
    <cellStyle name="Migliaia [0] 23 6" xfId="6525" xr:uid="{00000000-0005-0000-0000-000018050000}"/>
    <cellStyle name="Migliaia [0] 23 7" xfId="4603" xr:uid="{00000000-0005-0000-0000-000019050000}"/>
    <cellStyle name="Migliaia [0] 24" xfId="100" xr:uid="{00000000-0005-0000-0000-00001A050000}"/>
    <cellStyle name="Migliaia [0] 24 2" xfId="2031" xr:uid="{00000000-0005-0000-0000-00001B050000}"/>
    <cellStyle name="Migliaia [0] 24 2 2" xfId="3449" xr:uid="{00000000-0005-0000-0000-00001C050000}"/>
    <cellStyle name="Migliaia [0] 24 2 2 2" xfId="5586" xr:uid="{00000000-0005-0000-0000-00001D050000}"/>
    <cellStyle name="Migliaia [0] 24 2 2 3" xfId="6531" xr:uid="{00000000-0005-0000-0000-00001E050000}"/>
    <cellStyle name="Migliaia [0] 24 2 2 4" xfId="4609" xr:uid="{00000000-0005-0000-0000-00001F050000}"/>
    <cellStyle name="Migliaia [0] 24 2 3" xfId="3450" xr:uid="{00000000-0005-0000-0000-000020050000}"/>
    <cellStyle name="Migliaia [0] 24 2 4" xfId="5585" xr:uid="{00000000-0005-0000-0000-000021050000}"/>
    <cellStyle name="Migliaia [0] 24 2 5" xfId="6530" xr:uid="{00000000-0005-0000-0000-000022050000}"/>
    <cellStyle name="Migliaia [0] 24 2 6" xfId="4608" xr:uid="{00000000-0005-0000-0000-000023050000}"/>
    <cellStyle name="Migliaia [0] 24 3" xfId="3451" xr:uid="{00000000-0005-0000-0000-000024050000}"/>
    <cellStyle name="Migliaia [0] 24 3 2" xfId="5587" xr:uid="{00000000-0005-0000-0000-000025050000}"/>
    <cellStyle name="Migliaia [0] 24 3 3" xfId="6532" xr:uid="{00000000-0005-0000-0000-000026050000}"/>
    <cellStyle name="Migliaia [0] 24 3 4" xfId="4610" xr:uid="{00000000-0005-0000-0000-000027050000}"/>
    <cellStyle name="Migliaia [0] 24 4" xfId="3452" xr:uid="{00000000-0005-0000-0000-000028050000}"/>
    <cellStyle name="Migliaia [0] 24 5" xfId="5584" xr:uid="{00000000-0005-0000-0000-000029050000}"/>
    <cellStyle name="Migliaia [0] 24 6" xfId="6529" xr:uid="{00000000-0005-0000-0000-00002A050000}"/>
    <cellStyle name="Migliaia [0] 24 7" xfId="4607" xr:uid="{00000000-0005-0000-0000-00002B050000}"/>
    <cellStyle name="Migliaia [0] 25" xfId="101" xr:uid="{00000000-0005-0000-0000-00002C050000}"/>
    <cellStyle name="Migliaia [0] 25 2" xfId="2032" xr:uid="{00000000-0005-0000-0000-00002D050000}"/>
    <cellStyle name="Migliaia [0] 25 2 2" xfId="3453" xr:uid="{00000000-0005-0000-0000-00002E050000}"/>
    <cellStyle name="Migliaia [0] 25 2 2 2" xfId="5590" xr:uid="{00000000-0005-0000-0000-00002F050000}"/>
    <cellStyle name="Migliaia [0] 25 2 2 3" xfId="6535" xr:uid="{00000000-0005-0000-0000-000030050000}"/>
    <cellStyle name="Migliaia [0] 25 2 2 4" xfId="4613" xr:uid="{00000000-0005-0000-0000-000031050000}"/>
    <cellStyle name="Migliaia [0] 25 2 3" xfId="3454" xr:uid="{00000000-0005-0000-0000-000032050000}"/>
    <cellStyle name="Migliaia [0] 25 2 4" xfId="5589" xr:uid="{00000000-0005-0000-0000-000033050000}"/>
    <cellStyle name="Migliaia [0] 25 2 5" xfId="6534" xr:uid="{00000000-0005-0000-0000-000034050000}"/>
    <cellStyle name="Migliaia [0] 25 2 6" xfId="4612" xr:uid="{00000000-0005-0000-0000-000035050000}"/>
    <cellStyle name="Migliaia [0] 25 3" xfId="3455" xr:uid="{00000000-0005-0000-0000-000036050000}"/>
    <cellStyle name="Migliaia [0] 25 3 2" xfId="5591" xr:uid="{00000000-0005-0000-0000-000037050000}"/>
    <cellStyle name="Migliaia [0] 25 3 3" xfId="6536" xr:uid="{00000000-0005-0000-0000-000038050000}"/>
    <cellStyle name="Migliaia [0] 25 3 4" xfId="4614" xr:uid="{00000000-0005-0000-0000-000039050000}"/>
    <cellStyle name="Migliaia [0] 25 4" xfId="3456" xr:uid="{00000000-0005-0000-0000-00003A050000}"/>
    <cellStyle name="Migliaia [0] 25 5" xfId="5588" xr:uid="{00000000-0005-0000-0000-00003B050000}"/>
    <cellStyle name="Migliaia [0] 25 6" xfId="6533" xr:uid="{00000000-0005-0000-0000-00003C050000}"/>
    <cellStyle name="Migliaia [0] 25 7" xfId="4611" xr:uid="{00000000-0005-0000-0000-00003D050000}"/>
    <cellStyle name="Migliaia [0] 26" xfId="102" xr:uid="{00000000-0005-0000-0000-00003E050000}"/>
    <cellStyle name="Migliaia [0] 26 2" xfId="2033" xr:uid="{00000000-0005-0000-0000-00003F050000}"/>
    <cellStyle name="Migliaia [0] 26 2 2" xfId="3457" xr:uid="{00000000-0005-0000-0000-000040050000}"/>
    <cellStyle name="Migliaia [0] 26 2 2 2" xfId="5594" xr:uid="{00000000-0005-0000-0000-000041050000}"/>
    <cellStyle name="Migliaia [0] 26 2 2 3" xfId="6539" xr:uid="{00000000-0005-0000-0000-000042050000}"/>
    <cellStyle name="Migliaia [0] 26 2 2 4" xfId="4617" xr:uid="{00000000-0005-0000-0000-000043050000}"/>
    <cellStyle name="Migliaia [0] 26 2 3" xfId="3458" xr:uid="{00000000-0005-0000-0000-000044050000}"/>
    <cellStyle name="Migliaia [0] 26 2 4" xfId="5593" xr:uid="{00000000-0005-0000-0000-000045050000}"/>
    <cellStyle name="Migliaia [0] 26 2 5" xfId="6538" xr:uid="{00000000-0005-0000-0000-000046050000}"/>
    <cellStyle name="Migliaia [0] 26 2 6" xfId="4616" xr:uid="{00000000-0005-0000-0000-000047050000}"/>
    <cellStyle name="Migliaia [0] 26 3" xfId="3459" xr:uid="{00000000-0005-0000-0000-000048050000}"/>
    <cellStyle name="Migliaia [0] 26 3 2" xfId="5595" xr:uid="{00000000-0005-0000-0000-000049050000}"/>
    <cellStyle name="Migliaia [0] 26 3 3" xfId="6540" xr:uid="{00000000-0005-0000-0000-00004A050000}"/>
    <cellStyle name="Migliaia [0] 26 3 4" xfId="4618" xr:uid="{00000000-0005-0000-0000-00004B050000}"/>
    <cellStyle name="Migliaia [0] 26 4" xfId="3460" xr:uid="{00000000-0005-0000-0000-00004C050000}"/>
    <cellStyle name="Migliaia [0] 26 5" xfId="5592" xr:uid="{00000000-0005-0000-0000-00004D050000}"/>
    <cellStyle name="Migliaia [0] 26 6" xfId="6537" xr:uid="{00000000-0005-0000-0000-00004E050000}"/>
    <cellStyle name="Migliaia [0] 26 7" xfId="4615" xr:uid="{00000000-0005-0000-0000-00004F050000}"/>
    <cellStyle name="Migliaia [0] 27" xfId="103" xr:uid="{00000000-0005-0000-0000-000050050000}"/>
    <cellStyle name="Migliaia [0] 27 2" xfId="2034" xr:uid="{00000000-0005-0000-0000-000051050000}"/>
    <cellStyle name="Migliaia [0] 27 2 2" xfId="3461" xr:uid="{00000000-0005-0000-0000-000052050000}"/>
    <cellStyle name="Migliaia [0] 27 2 2 2" xfId="5598" xr:uid="{00000000-0005-0000-0000-000053050000}"/>
    <cellStyle name="Migliaia [0] 27 2 2 3" xfId="6543" xr:uid="{00000000-0005-0000-0000-000054050000}"/>
    <cellStyle name="Migliaia [0] 27 2 2 4" xfId="4621" xr:uid="{00000000-0005-0000-0000-000055050000}"/>
    <cellStyle name="Migliaia [0] 27 2 3" xfId="3462" xr:uid="{00000000-0005-0000-0000-000056050000}"/>
    <cellStyle name="Migliaia [0] 27 2 4" xfId="5597" xr:uid="{00000000-0005-0000-0000-000057050000}"/>
    <cellStyle name="Migliaia [0] 27 2 5" xfId="6542" xr:uid="{00000000-0005-0000-0000-000058050000}"/>
    <cellStyle name="Migliaia [0] 27 2 6" xfId="4620" xr:uid="{00000000-0005-0000-0000-000059050000}"/>
    <cellStyle name="Migliaia [0] 27 3" xfId="3463" xr:uid="{00000000-0005-0000-0000-00005A050000}"/>
    <cellStyle name="Migliaia [0] 27 3 2" xfId="5599" xr:uid="{00000000-0005-0000-0000-00005B050000}"/>
    <cellStyle name="Migliaia [0] 27 3 3" xfId="6544" xr:uid="{00000000-0005-0000-0000-00005C050000}"/>
    <cellStyle name="Migliaia [0] 27 3 4" xfId="4622" xr:uid="{00000000-0005-0000-0000-00005D050000}"/>
    <cellStyle name="Migliaia [0] 27 4" xfId="3464" xr:uid="{00000000-0005-0000-0000-00005E050000}"/>
    <cellStyle name="Migliaia [0] 27 5" xfId="5596" xr:uid="{00000000-0005-0000-0000-00005F050000}"/>
    <cellStyle name="Migliaia [0] 27 6" xfId="6541" xr:uid="{00000000-0005-0000-0000-000060050000}"/>
    <cellStyle name="Migliaia [0] 27 7" xfId="4619" xr:uid="{00000000-0005-0000-0000-000061050000}"/>
    <cellStyle name="Migliaia [0] 28" xfId="104" xr:uid="{00000000-0005-0000-0000-000062050000}"/>
    <cellStyle name="Migliaia [0] 28 2" xfId="2035" xr:uid="{00000000-0005-0000-0000-000063050000}"/>
    <cellStyle name="Migliaia [0] 28 2 2" xfId="3465" xr:uid="{00000000-0005-0000-0000-000064050000}"/>
    <cellStyle name="Migliaia [0] 28 2 2 2" xfId="5602" xr:uid="{00000000-0005-0000-0000-000065050000}"/>
    <cellStyle name="Migliaia [0] 28 2 2 3" xfId="6547" xr:uid="{00000000-0005-0000-0000-000066050000}"/>
    <cellStyle name="Migliaia [0] 28 2 2 4" xfId="4625" xr:uid="{00000000-0005-0000-0000-000067050000}"/>
    <cellStyle name="Migliaia [0] 28 2 3" xfId="3466" xr:uid="{00000000-0005-0000-0000-000068050000}"/>
    <cellStyle name="Migliaia [0] 28 2 4" xfId="5601" xr:uid="{00000000-0005-0000-0000-000069050000}"/>
    <cellStyle name="Migliaia [0] 28 2 5" xfId="6546" xr:uid="{00000000-0005-0000-0000-00006A050000}"/>
    <cellStyle name="Migliaia [0] 28 2 6" xfId="4624" xr:uid="{00000000-0005-0000-0000-00006B050000}"/>
    <cellStyle name="Migliaia [0] 28 3" xfId="3467" xr:uid="{00000000-0005-0000-0000-00006C050000}"/>
    <cellStyle name="Migliaia [0] 28 3 2" xfId="5603" xr:uid="{00000000-0005-0000-0000-00006D050000}"/>
    <cellStyle name="Migliaia [0] 28 3 3" xfId="6548" xr:uid="{00000000-0005-0000-0000-00006E050000}"/>
    <cellStyle name="Migliaia [0] 28 3 4" xfId="4626" xr:uid="{00000000-0005-0000-0000-00006F050000}"/>
    <cellStyle name="Migliaia [0] 28 4" xfId="3468" xr:uid="{00000000-0005-0000-0000-000070050000}"/>
    <cellStyle name="Migliaia [0] 28 5" xfId="5600" xr:uid="{00000000-0005-0000-0000-000071050000}"/>
    <cellStyle name="Migliaia [0] 28 6" xfId="6545" xr:uid="{00000000-0005-0000-0000-000072050000}"/>
    <cellStyle name="Migliaia [0] 28 7" xfId="4623" xr:uid="{00000000-0005-0000-0000-000073050000}"/>
    <cellStyle name="Migliaia [0] 29" xfId="105" xr:uid="{00000000-0005-0000-0000-000074050000}"/>
    <cellStyle name="Migliaia [0] 29 2" xfId="2036" xr:uid="{00000000-0005-0000-0000-000075050000}"/>
    <cellStyle name="Migliaia [0] 29 2 2" xfId="3469" xr:uid="{00000000-0005-0000-0000-000076050000}"/>
    <cellStyle name="Migliaia [0] 29 2 2 2" xfId="5606" xr:uid="{00000000-0005-0000-0000-000077050000}"/>
    <cellStyle name="Migliaia [0] 29 2 2 3" xfId="6551" xr:uid="{00000000-0005-0000-0000-000078050000}"/>
    <cellStyle name="Migliaia [0] 29 2 2 4" xfId="4629" xr:uid="{00000000-0005-0000-0000-000079050000}"/>
    <cellStyle name="Migliaia [0] 29 2 3" xfId="3470" xr:uid="{00000000-0005-0000-0000-00007A050000}"/>
    <cellStyle name="Migliaia [0] 29 2 4" xfId="5605" xr:uid="{00000000-0005-0000-0000-00007B050000}"/>
    <cellStyle name="Migliaia [0] 29 2 5" xfId="6550" xr:uid="{00000000-0005-0000-0000-00007C050000}"/>
    <cellStyle name="Migliaia [0] 29 2 6" xfId="4628" xr:uid="{00000000-0005-0000-0000-00007D050000}"/>
    <cellStyle name="Migliaia [0] 29 3" xfId="3471" xr:uid="{00000000-0005-0000-0000-00007E050000}"/>
    <cellStyle name="Migliaia [0] 29 3 2" xfId="5607" xr:uid="{00000000-0005-0000-0000-00007F050000}"/>
    <cellStyle name="Migliaia [0] 29 3 3" xfId="6552" xr:uid="{00000000-0005-0000-0000-000080050000}"/>
    <cellStyle name="Migliaia [0] 29 3 4" xfId="4630" xr:uid="{00000000-0005-0000-0000-000081050000}"/>
    <cellStyle name="Migliaia [0] 29 4" xfId="3472" xr:uid="{00000000-0005-0000-0000-000082050000}"/>
    <cellStyle name="Migliaia [0] 29 5" xfId="5604" xr:uid="{00000000-0005-0000-0000-000083050000}"/>
    <cellStyle name="Migliaia [0] 29 6" xfId="6549" xr:uid="{00000000-0005-0000-0000-000084050000}"/>
    <cellStyle name="Migliaia [0] 29 7" xfId="4627" xr:uid="{00000000-0005-0000-0000-000085050000}"/>
    <cellStyle name="Migliaia [0] 3" xfId="106" xr:uid="{00000000-0005-0000-0000-000086050000}"/>
    <cellStyle name="Migliaia [0] 3 2" xfId="2037" xr:uid="{00000000-0005-0000-0000-000087050000}"/>
    <cellStyle name="Migliaia [0] 3 2 2" xfId="3473" xr:uid="{00000000-0005-0000-0000-000088050000}"/>
    <cellStyle name="Migliaia [0] 3 2 2 2" xfId="5610" xr:uid="{00000000-0005-0000-0000-000089050000}"/>
    <cellStyle name="Migliaia [0] 3 2 2 3" xfId="6555" xr:uid="{00000000-0005-0000-0000-00008A050000}"/>
    <cellStyle name="Migliaia [0] 3 2 2 4" xfId="4633" xr:uid="{00000000-0005-0000-0000-00008B050000}"/>
    <cellStyle name="Migliaia [0] 3 2 3" xfId="3474" xr:uid="{00000000-0005-0000-0000-00008C050000}"/>
    <cellStyle name="Migliaia [0] 3 2 4" xfId="5609" xr:uid="{00000000-0005-0000-0000-00008D050000}"/>
    <cellStyle name="Migliaia [0] 3 2 5" xfId="6554" xr:uid="{00000000-0005-0000-0000-00008E050000}"/>
    <cellStyle name="Migliaia [0] 3 2 6" xfId="4632" xr:uid="{00000000-0005-0000-0000-00008F050000}"/>
    <cellStyle name="Migliaia [0] 3 3" xfId="3475" xr:uid="{00000000-0005-0000-0000-000090050000}"/>
    <cellStyle name="Migliaia [0] 3 3 2" xfId="5611" xr:uid="{00000000-0005-0000-0000-000091050000}"/>
    <cellStyle name="Migliaia [0] 3 3 3" xfId="6556" xr:uid="{00000000-0005-0000-0000-000092050000}"/>
    <cellStyle name="Migliaia [0] 3 3 4" xfId="4634" xr:uid="{00000000-0005-0000-0000-000093050000}"/>
    <cellStyle name="Migliaia [0] 3 4" xfId="3476" xr:uid="{00000000-0005-0000-0000-000094050000}"/>
    <cellStyle name="Migliaia [0] 3 5" xfId="5608" xr:uid="{00000000-0005-0000-0000-000095050000}"/>
    <cellStyle name="Migliaia [0] 3 6" xfId="6553" xr:uid="{00000000-0005-0000-0000-000096050000}"/>
    <cellStyle name="Migliaia [0] 3 7" xfId="4631" xr:uid="{00000000-0005-0000-0000-000097050000}"/>
    <cellStyle name="Migliaia [0] 30" xfId="107" xr:uid="{00000000-0005-0000-0000-000098050000}"/>
    <cellStyle name="Migliaia [0] 30 2" xfId="2038" xr:uid="{00000000-0005-0000-0000-000099050000}"/>
    <cellStyle name="Migliaia [0] 30 2 2" xfId="3477" xr:uid="{00000000-0005-0000-0000-00009A050000}"/>
    <cellStyle name="Migliaia [0] 30 2 2 2" xfId="5614" xr:uid="{00000000-0005-0000-0000-00009B050000}"/>
    <cellStyle name="Migliaia [0] 30 2 2 3" xfId="6559" xr:uid="{00000000-0005-0000-0000-00009C050000}"/>
    <cellStyle name="Migliaia [0] 30 2 2 4" xfId="4637" xr:uid="{00000000-0005-0000-0000-00009D050000}"/>
    <cellStyle name="Migliaia [0] 30 2 3" xfId="3478" xr:uid="{00000000-0005-0000-0000-00009E050000}"/>
    <cellStyle name="Migliaia [0] 30 2 4" xfId="5613" xr:uid="{00000000-0005-0000-0000-00009F050000}"/>
    <cellStyle name="Migliaia [0] 30 2 5" xfId="6558" xr:uid="{00000000-0005-0000-0000-0000A0050000}"/>
    <cellStyle name="Migliaia [0] 30 2 6" xfId="4636" xr:uid="{00000000-0005-0000-0000-0000A1050000}"/>
    <cellStyle name="Migliaia [0] 30 3" xfId="3479" xr:uid="{00000000-0005-0000-0000-0000A2050000}"/>
    <cellStyle name="Migliaia [0] 30 3 2" xfId="5615" xr:uid="{00000000-0005-0000-0000-0000A3050000}"/>
    <cellStyle name="Migliaia [0] 30 3 3" xfId="6560" xr:uid="{00000000-0005-0000-0000-0000A4050000}"/>
    <cellStyle name="Migliaia [0] 30 3 4" xfId="4638" xr:uid="{00000000-0005-0000-0000-0000A5050000}"/>
    <cellStyle name="Migliaia [0] 30 4" xfId="3480" xr:uid="{00000000-0005-0000-0000-0000A6050000}"/>
    <cellStyle name="Migliaia [0] 30 5" xfId="5612" xr:uid="{00000000-0005-0000-0000-0000A7050000}"/>
    <cellStyle name="Migliaia [0] 30 6" xfId="6557" xr:uid="{00000000-0005-0000-0000-0000A8050000}"/>
    <cellStyle name="Migliaia [0] 30 7" xfId="4635" xr:uid="{00000000-0005-0000-0000-0000A9050000}"/>
    <cellStyle name="Migliaia [0] 31" xfId="108" xr:uid="{00000000-0005-0000-0000-0000AA050000}"/>
    <cellStyle name="Migliaia [0] 31 2" xfId="2039" xr:uid="{00000000-0005-0000-0000-0000AB050000}"/>
    <cellStyle name="Migliaia [0] 31 2 2" xfId="3481" xr:uid="{00000000-0005-0000-0000-0000AC050000}"/>
    <cellStyle name="Migliaia [0] 31 2 2 2" xfId="5618" xr:uid="{00000000-0005-0000-0000-0000AD050000}"/>
    <cellStyle name="Migliaia [0] 31 2 2 3" xfId="6563" xr:uid="{00000000-0005-0000-0000-0000AE050000}"/>
    <cellStyle name="Migliaia [0] 31 2 2 4" xfId="4641" xr:uid="{00000000-0005-0000-0000-0000AF050000}"/>
    <cellStyle name="Migliaia [0] 31 2 3" xfId="3482" xr:uid="{00000000-0005-0000-0000-0000B0050000}"/>
    <cellStyle name="Migliaia [0] 31 2 4" xfId="5617" xr:uid="{00000000-0005-0000-0000-0000B1050000}"/>
    <cellStyle name="Migliaia [0] 31 2 5" xfId="6562" xr:uid="{00000000-0005-0000-0000-0000B2050000}"/>
    <cellStyle name="Migliaia [0] 31 2 6" xfId="4640" xr:uid="{00000000-0005-0000-0000-0000B3050000}"/>
    <cellStyle name="Migliaia [0] 31 3" xfId="3483" xr:uid="{00000000-0005-0000-0000-0000B4050000}"/>
    <cellStyle name="Migliaia [0] 31 3 2" xfId="5619" xr:uid="{00000000-0005-0000-0000-0000B5050000}"/>
    <cellStyle name="Migliaia [0] 31 3 3" xfId="6564" xr:uid="{00000000-0005-0000-0000-0000B6050000}"/>
    <cellStyle name="Migliaia [0] 31 3 4" xfId="4642" xr:uid="{00000000-0005-0000-0000-0000B7050000}"/>
    <cellStyle name="Migliaia [0] 31 4" xfId="3484" xr:uid="{00000000-0005-0000-0000-0000B8050000}"/>
    <cellStyle name="Migliaia [0] 31 5" xfId="5616" xr:uid="{00000000-0005-0000-0000-0000B9050000}"/>
    <cellStyle name="Migliaia [0] 31 6" xfId="6561" xr:uid="{00000000-0005-0000-0000-0000BA050000}"/>
    <cellStyle name="Migliaia [0] 31 7" xfId="4639" xr:uid="{00000000-0005-0000-0000-0000BB050000}"/>
    <cellStyle name="Migliaia [0] 32" xfId="109" xr:uid="{00000000-0005-0000-0000-0000BC050000}"/>
    <cellStyle name="Migliaia [0] 32 2" xfId="2040" xr:uid="{00000000-0005-0000-0000-0000BD050000}"/>
    <cellStyle name="Migliaia [0] 32 2 2" xfId="3485" xr:uid="{00000000-0005-0000-0000-0000BE050000}"/>
    <cellStyle name="Migliaia [0] 32 2 2 2" xfId="5622" xr:uid="{00000000-0005-0000-0000-0000BF050000}"/>
    <cellStyle name="Migliaia [0] 32 2 2 3" xfId="6567" xr:uid="{00000000-0005-0000-0000-0000C0050000}"/>
    <cellStyle name="Migliaia [0] 32 2 2 4" xfId="4645" xr:uid="{00000000-0005-0000-0000-0000C1050000}"/>
    <cellStyle name="Migliaia [0] 32 2 3" xfId="3486" xr:uid="{00000000-0005-0000-0000-0000C2050000}"/>
    <cellStyle name="Migliaia [0] 32 2 4" xfId="5621" xr:uid="{00000000-0005-0000-0000-0000C3050000}"/>
    <cellStyle name="Migliaia [0] 32 2 5" xfId="6566" xr:uid="{00000000-0005-0000-0000-0000C4050000}"/>
    <cellStyle name="Migliaia [0] 32 2 6" xfId="4644" xr:uid="{00000000-0005-0000-0000-0000C5050000}"/>
    <cellStyle name="Migliaia [0] 32 3" xfId="3487" xr:uid="{00000000-0005-0000-0000-0000C6050000}"/>
    <cellStyle name="Migliaia [0] 32 3 2" xfId="5623" xr:uid="{00000000-0005-0000-0000-0000C7050000}"/>
    <cellStyle name="Migliaia [0] 32 3 3" xfId="6568" xr:uid="{00000000-0005-0000-0000-0000C8050000}"/>
    <cellStyle name="Migliaia [0] 32 3 4" xfId="4646" xr:uid="{00000000-0005-0000-0000-0000C9050000}"/>
    <cellStyle name="Migliaia [0] 32 4" xfId="3488" xr:uid="{00000000-0005-0000-0000-0000CA050000}"/>
    <cellStyle name="Migliaia [0] 32 5" xfId="5620" xr:uid="{00000000-0005-0000-0000-0000CB050000}"/>
    <cellStyle name="Migliaia [0] 32 6" xfId="6565" xr:uid="{00000000-0005-0000-0000-0000CC050000}"/>
    <cellStyle name="Migliaia [0] 32 7" xfId="4643" xr:uid="{00000000-0005-0000-0000-0000CD050000}"/>
    <cellStyle name="Migliaia [0] 33" xfId="110" xr:uid="{00000000-0005-0000-0000-0000CE050000}"/>
    <cellStyle name="Migliaia [0] 33 2" xfId="2041" xr:uid="{00000000-0005-0000-0000-0000CF050000}"/>
    <cellStyle name="Migliaia [0] 33 2 2" xfId="3489" xr:uid="{00000000-0005-0000-0000-0000D0050000}"/>
    <cellStyle name="Migliaia [0] 33 2 2 2" xfId="5626" xr:uid="{00000000-0005-0000-0000-0000D1050000}"/>
    <cellStyle name="Migliaia [0] 33 2 2 3" xfId="6571" xr:uid="{00000000-0005-0000-0000-0000D2050000}"/>
    <cellStyle name="Migliaia [0] 33 2 2 4" xfId="4649" xr:uid="{00000000-0005-0000-0000-0000D3050000}"/>
    <cellStyle name="Migliaia [0] 33 2 3" xfId="3490" xr:uid="{00000000-0005-0000-0000-0000D4050000}"/>
    <cellStyle name="Migliaia [0] 33 2 4" xfId="5625" xr:uid="{00000000-0005-0000-0000-0000D5050000}"/>
    <cellStyle name="Migliaia [0] 33 2 5" xfId="6570" xr:uid="{00000000-0005-0000-0000-0000D6050000}"/>
    <cellStyle name="Migliaia [0] 33 2 6" xfId="4648" xr:uid="{00000000-0005-0000-0000-0000D7050000}"/>
    <cellStyle name="Migliaia [0] 33 3" xfId="3491" xr:uid="{00000000-0005-0000-0000-0000D8050000}"/>
    <cellStyle name="Migliaia [0] 33 3 2" xfId="5627" xr:uid="{00000000-0005-0000-0000-0000D9050000}"/>
    <cellStyle name="Migliaia [0] 33 3 3" xfId="6572" xr:uid="{00000000-0005-0000-0000-0000DA050000}"/>
    <cellStyle name="Migliaia [0] 33 3 4" xfId="4650" xr:uid="{00000000-0005-0000-0000-0000DB050000}"/>
    <cellStyle name="Migliaia [0] 33 4" xfId="3492" xr:uid="{00000000-0005-0000-0000-0000DC050000}"/>
    <cellStyle name="Migliaia [0] 33 5" xfId="5624" xr:uid="{00000000-0005-0000-0000-0000DD050000}"/>
    <cellStyle name="Migliaia [0] 33 6" xfId="6569" xr:uid="{00000000-0005-0000-0000-0000DE050000}"/>
    <cellStyle name="Migliaia [0] 33 7" xfId="4647" xr:uid="{00000000-0005-0000-0000-0000DF050000}"/>
    <cellStyle name="Migliaia [0] 34" xfId="111" xr:uid="{00000000-0005-0000-0000-0000E0050000}"/>
    <cellStyle name="Migliaia [0] 34 2" xfId="2042" xr:uid="{00000000-0005-0000-0000-0000E1050000}"/>
    <cellStyle name="Migliaia [0] 34 2 2" xfId="3493" xr:uid="{00000000-0005-0000-0000-0000E2050000}"/>
    <cellStyle name="Migliaia [0] 34 2 2 2" xfId="5630" xr:uid="{00000000-0005-0000-0000-0000E3050000}"/>
    <cellStyle name="Migliaia [0] 34 2 2 3" xfId="6575" xr:uid="{00000000-0005-0000-0000-0000E4050000}"/>
    <cellStyle name="Migliaia [0] 34 2 2 4" xfId="4653" xr:uid="{00000000-0005-0000-0000-0000E5050000}"/>
    <cellStyle name="Migliaia [0] 34 2 3" xfId="3494" xr:uid="{00000000-0005-0000-0000-0000E6050000}"/>
    <cellStyle name="Migliaia [0] 34 2 4" xfId="5629" xr:uid="{00000000-0005-0000-0000-0000E7050000}"/>
    <cellStyle name="Migliaia [0] 34 2 5" xfId="6574" xr:uid="{00000000-0005-0000-0000-0000E8050000}"/>
    <cellStyle name="Migliaia [0] 34 2 6" xfId="4652" xr:uid="{00000000-0005-0000-0000-0000E9050000}"/>
    <cellStyle name="Migliaia [0] 34 3" xfId="3495" xr:uid="{00000000-0005-0000-0000-0000EA050000}"/>
    <cellStyle name="Migliaia [0] 34 3 2" xfId="5631" xr:uid="{00000000-0005-0000-0000-0000EB050000}"/>
    <cellStyle name="Migliaia [0] 34 3 3" xfId="6576" xr:uid="{00000000-0005-0000-0000-0000EC050000}"/>
    <cellStyle name="Migliaia [0] 34 3 4" xfId="4654" xr:uid="{00000000-0005-0000-0000-0000ED050000}"/>
    <cellStyle name="Migliaia [0] 34 4" xfId="3496" xr:uid="{00000000-0005-0000-0000-0000EE050000}"/>
    <cellStyle name="Migliaia [0] 34 5" xfId="5628" xr:uid="{00000000-0005-0000-0000-0000EF050000}"/>
    <cellStyle name="Migliaia [0] 34 6" xfId="6573" xr:uid="{00000000-0005-0000-0000-0000F0050000}"/>
    <cellStyle name="Migliaia [0] 34 7" xfId="4651" xr:uid="{00000000-0005-0000-0000-0000F1050000}"/>
    <cellStyle name="Migliaia [0] 35" xfId="112" xr:uid="{00000000-0005-0000-0000-0000F2050000}"/>
    <cellStyle name="Migliaia [0] 35 2" xfId="2043" xr:uid="{00000000-0005-0000-0000-0000F3050000}"/>
    <cellStyle name="Migliaia [0] 35 2 2" xfId="3497" xr:uid="{00000000-0005-0000-0000-0000F4050000}"/>
    <cellStyle name="Migliaia [0] 35 2 2 2" xfId="5634" xr:uid="{00000000-0005-0000-0000-0000F5050000}"/>
    <cellStyle name="Migliaia [0] 35 2 2 3" xfId="6579" xr:uid="{00000000-0005-0000-0000-0000F6050000}"/>
    <cellStyle name="Migliaia [0] 35 2 2 4" xfId="4657" xr:uid="{00000000-0005-0000-0000-0000F7050000}"/>
    <cellStyle name="Migliaia [0] 35 2 3" xfId="3498" xr:uid="{00000000-0005-0000-0000-0000F8050000}"/>
    <cellStyle name="Migliaia [0] 35 2 4" xfId="5633" xr:uid="{00000000-0005-0000-0000-0000F9050000}"/>
    <cellStyle name="Migliaia [0] 35 2 5" xfId="6578" xr:uid="{00000000-0005-0000-0000-0000FA050000}"/>
    <cellStyle name="Migliaia [0] 35 2 6" xfId="4656" xr:uid="{00000000-0005-0000-0000-0000FB050000}"/>
    <cellStyle name="Migliaia [0] 35 3" xfId="3499" xr:uid="{00000000-0005-0000-0000-0000FC050000}"/>
    <cellStyle name="Migliaia [0] 35 3 2" xfId="5635" xr:uid="{00000000-0005-0000-0000-0000FD050000}"/>
    <cellStyle name="Migliaia [0] 35 3 3" xfId="6580" xr:uid="{00000000-0005-0000-0000-0000FE050000}"/>
    <cellStyle name="Migliaia [0] 35 3 4" xfId="4658" xr:uid="{00000000-0005-0000-0000-0000FF050000}"/>
    <cellStyle name="Migliaia [0] 35 4" xfId="3500" xr:uid="{00000000-0005-0000-0000-000000060000}"/>
    <cellStyle name="Migliaia [0] 35 5" xfId="5632" xr:uid="{00000000-0005-0000-0000-000001060000}"/>
    <cellStyle name="Migliaia [0] 35 6" xfId="6577" xr:uid="{00000000-0005-0000-0000-000002060000}"/>
    <cellStyle name="Migliaia [0] 35 7" xfId="4655" xr:uid="{00000000-0005-0000-0000-000003060000}"/>
    <cellStyle name="Migliaia [0] 36" xfId="113" xr:uid="{00000000-0005-0000-0000-000004060000}"/>
    <cellStyle name="Migliaia [0] 36 2" xfId="2044" xr:uid="{00000000-0005-0000-0000-000005060000}"/>
    <cellStyle name="Migliaia [0] 36 2 2" xfId="3501" xr:uid="{00000000-0005-0000-0000-000006060000}"/>
    <cellStyle name="Migliaia [0] 36 2 2 2" xfId="5638" xr:uid="{00000000-0005-0000-0000-000007060000}"/>
    <cellStyle name="Migliaia [0] 36 2 2 3" xfId="6583" xr:uid="{00000000-0005-0000-0000-000008060000}"/>
    <cellStyle name="Migliaia [0] 36 2 2 4" xfId="4661" xr:uid="{00000000-0005-0000-0000-000009060000}"/>
    <cellStyle name="Migliaia [0] 36 2 3" xfId="3502" xr:uid="{00000000-0005-0000-0000-00000A060000}"/>
    <cellStyle name="Migliaia [0] 36 2 4" xfId="5637" xr:uid="{00000000-0005-0000-0000-00000B060000}"/>
    <cellStyle name="Migliaia [0] 36 2 5" xfId="6582" xr:uid="{00000000-0005-0000-0000-00000C060000}"/>
    <cellStyle name="Migliaia [0] 36 2 6" xfId="4660" xr:uid="{00000000-0005-0000-0000-00000D060000}"/>
    <cellStyle name="Migliaia [0] 36 3" xfId="3503" xr:uid="{00000000-0005-0000-0000-00000E060000}"/>
    <cellStyle name="Migliaia [0] 36 3 2" xfId="5639" xr:uid="{00000000-0005-0000-0000-00000F060000}"/>
    <cellStyle name="Migliaia [0] 36 3 3" xfId="6584" xr:uid="{00000000-0005-0000-0000-000010060000}"/>
    <cellStyle name="Migliaia [0] 36 3 4" xfId="4662" xr:uid="{00000000-0005-0000-0000-000011060000}"/>
    <cellStyle name="Migliaia [0] 36 4" xfId="3504" xr:uid="{00000000-0005-0000-0000-000012060000}"/>
    <cellStyle name="Migliaia [0] 36 5" xfId="5636" xr:uid="{00000000-0005-0000-0000-000013060000}"/>
    <cellStyle name="Migliaia [0] 36 6" xfId="6581" xr:uid="{00000000-0005-0000-0000-000014060000}"/>
    <cellStyle name="Migliaia [0] 36 7" xfId="4659" xr:uid="{00000000-0005-0000-0000-000015060000}"/>
    <cellStyle name="Migliaia [0] 37" xfId="114" xr:uid="{00000000-0005-0000-0000-000016060000}"/>
    <cellStyle name="Migliaia [0] 37 2" xfId="2045" xr:uid="{00000000-0005-0000-0000-000017060000}"/>
    <cellStyle name="Migliaia [0] 37 2 2" xfId="3505" xr:uid="{00000000-0005-0000-0000-000018060000}"/>
    <cellStyle name="Migliaia [0] 37 2 2 2" xfId="5642" xr:uid="{00000000-0005-0000-0000-000019060000}"/>
    <cellStyle name="Migliaia [0] 37 2 2 3" xfId="6587" xr:uid="{00000000-0005-0000-0000-00001A060000}"/>
    <cellStyle name="Migliaia [0] 37 2 2 4" xfId="4665" xr:uid="{00000000-0005-0000-0000-00001B060000}"/>
    <cellStyle name="Migliaia [0] 37 2 3" xfId="3506" xr:uid="{00000000-0005-0000-0000-00001C060000}"/>
    <cellStyle name="Migliaia [0] 37 2 4" xfId="5641" xr:uid="{00000000-0005-0000-0000-00001D060000}"/>
    <cellStyle name="Migliaia [0] 37 2 5" xfId="6586" xr:uid="{00000000-0005-0000-0000-00001E060000}"/>
    <cellStyle name="Migliaia [0] 37 2 6" xfId="4664" xr:uid="{00000000-0005-0000-0000-00001F060000}"/>
    <cellStyle name="Migliaia [0] 37 3" xfId="3507" xr:uid="{00000000-0005-0000-0000-000020060000}"/>
    <cellStyle name="Migliaia [0] 37 3 2" xfId="5643" xr:uid="{00000000-0005-0000-0000-000021060000}"/>
    <cellStyle name="Migliaia [0] 37 3 3" xfId="6588" xr:uid="{00000000-0005-0000-0000-000022060000}"/>
    <cellStyle name="Migliaia [0] 37 3 4" xfId="4666" xr:uid="{00000000-0005-0000-0000-000023060000}"/>
    <cellStyle name="Migliaia [0] 37 4" xfId="3508" xr:uid="{00000000-0005-0000-0000-000024060000}"/>
    <cellStyle name="Migliaia [0] 37 5" xfId="5640" xr:uid="{00000000-0005-0000-0000-000025060000}"/>
    <cellStyle name="Migliaia [0] 37 6" xfId="6585" xr:uid="{00000000-0005-0000-0000-000026060000}"/>
    <cellStyle name="Migliaia [0] 37 7" xfId="4663" xr:uid="{00000000-0005-0000-0000-000027060000}"/>
    <cellStyle name="Migliaia [0] 38" xfId="115" xr:uid="{00000000-0005-0000-0000-000028060000}"/>
    <cellStyle name="Migliaia [0] 38 2" xfId="2046" xr:uid="{00000000-0005-0000-0000-000029060000}"/>
    <cellStyle name="Migliaia [0] 38 2 2" xfId="3509" xr:uid="{00000000-0005-0000-0000-00002A060000}"/>
    <cellStyle name="Migliaia [0] 38 2 2 2" xfId="5646" xr:uid="{00000000-0005-0000-0000-00002B060000}"/>
    <cellStyle name="Migliaia [0] 38 2 2 3" xfId="6591" xr:uid="{00000000-0005-0000-0000-00002C060000}"/>
    <cellStyle name="Migliaia [0] 38 2 2 4" xfId="4669" xr:uid="{00000000-0005-0000-0000-00002D060000}"/>
    <cellStyle name="Migliaia [0] 38 2 3" xfId="3510" xr:uid="{00000000-0005-0000-0000-00002E060000}"/>
    <cellStyle name="Migliaia [0] 38 2 4" xfId="5645" xr:uid="{00000000-0005-0000-0000-00002F060000}"/>
    <cellStyle name="Migliaia [0] 38 2 5" xfId="6590" xr:uid="{00000000-0005-0000-0000-000030060000}"/>
    <cellStyle name="Migliaia [0] 38 2 6" xfId="4668" xr:uid="{00000000-0005-0000-0000-000031060000}"/>
    <cellStyle name="Migliaia [0] 38 3" xfId="3511" xr:uid="{00000000-0005-0000-0000-000032060000}"/>
    <cellStyle name="Migliaia [0] 38 3 2" xfId="5647" xr:uid="{00000000-0005-0000-0000-000033060000}"/>
    <cellStyle name="Migliaia [0] 38 3 3" xfId="6592" xr:uid="{00000000-0005-0000-0000-000034060000}"/>
    <cellStyle name="Migliaia [0] 38 3 4" xfId="4670" xr:uid="{00000000-0005-0000-0000-000035060000}"/>
    <cellStyle name="Migliaia [0] 38 4" xfId="3512" xr:uid="{00000000-0005-0000-0000-000036060000}"/>
    <cellStyle name="Migliaia [0] 38 5" xfId="5644" xr:uid="{00000000-0005-0000-0000-000037060000}"/>
    <cellStyle name="Migliaia [0] 38 6" xfId="6589" xr:uid="{00000000-0005-0000-0000-000038060000}"/>
    <cellStyle name="Migliaia [0] 38 7" xfId="4667" xr:uid="{00000000-0005-0000-0000-000039060000}"/>
    <cellStyle name="Migliaia [0] 39" xfId="116" xr:uid="{00000000-0005-0000-0000-00003A060000}"/>
    <cellStyle name="Migliaia [0] 39 2" xfId="2047" xr:uid="{00000000-0005-0000-0000-00003B060000}"/>
    <cellStyle name="Migliaia [0] 39 2 2" xfId="3513" xr:uid="{00000000-0005-0000-0000-00003C060000}"/>
    <cellStyle name="Migliaia [0] 39 2 2 2" xfId="5650" xr:uid="{00000000-0005-0000-0000-00003D060000}"/>
    <cellStyle name="Migliaia [0] 39 2 2 3" xfId="6595" xr:uid="{00000000-0005-0000-0000-00003E060000}"/>
    <cellStyle name="Migliaia [0] 39 2 2 4" xfId="4673" xr:uid="{00000000-0005-0000-0000-00003F060000}"/>
    <cellStyle name="Migliaia [0] 39 2 3" xfId="3514" xr:uid="{00000000-0005-0000-0000-000040060000}"/>
    <cellStyle name="Migliaia [0] 39 2 4" xfId="5649" xr:uid="{00000000-0005-0000-0000-000041060000}"/>
    <cellStyle name="Migliaia [0] 39 2 5" xfId="6594" xr:uid="{00000000-0005-0000-0000-000042060000}"/>
    <cellStyle name="Migliaia [0] 39 2 6" xfId="4672" xr:uid="{00000000-0005-0000-0000-000043060000}"/>
    <cellStyle name="Migliaia [0] 39 3" xfId="3515" xr:uid="{00000000-0005-0000-0000-000044060000}"/>
    <cellStyle name="Migliaia [0] 39 3 2" xfId="5651" xr:uid="{00000000-0005-0000-0000-000045060000}"/>
    <cellStyle name="Migliaia [0] 39 3 3" xfId="6596" xr:uid="{00000000-0005-0000-0000-000046060000}"/>
    <cellStyle name="Migliaia [0] 39 3 4" xfId="4674" xr:uid="{00000000-0005-0000-0000-000047060000}"/>
    <cellStyle name="Migliaia [0] 39 4" xfId="3516" xr:uid="{00000000-0005-0000-0000-000048060000}"/>
    <cellStyle name="Migliaia [0] 39 5" xfId="5648" xr:uid="{00000000-0005-0000-0000-000049060000}"/>
    <cellStyle name="Migliaia [0] 39 6" xfId="6593" xr:uid="{00000000-0005-0000-0000-00004A060000}"/>
    <cellStyle name="Migliaia [0] 39 7" xfId="4671" xr:uid="{00000000-0005-0000-0000-00004B060000}"/>
    <cellStyle name="Migliaia [0] 4" xfId="117" xr:uid="{00000000-0005-0000-0000-00004C060000}"/>
    <cellStyle name="Migliaia [0] 4 2" xfId="2048" xr:uid="{00000000-0005-0000-0000-00004D060000}"/>
    <cellStyle name="Migliaia [0] 4 2 2" xfId="3517" xr:uid="{00000000-0005-0000-0000-00004E060000}"/>
    <cellStyle name="Migliaia [0] 4 2 2 2" xfId="5654" xr:uid="{00000000-0005-0000-0000-00004F060000}"/>
    <cellStyle name="Migliaia [0] 4 2 2 3" xfId="6599" xr:uid="{00000000-0005-0000-0000-000050060000}"/>
    <cellStyle name="Migliaia [0] 4 2 2 4" xfId="4677" xr:uid="{00000000-0005-0000-0000-000051060000}"/>
    <cellStyle name="Migliaia [0] 4 2 3" xfId="3518" xr:uid="{00000000-0005-0000-0000-000052060000}"/>
    <cellStyle name="Migliaia [0] 4 2 4" xfId="5653" xr:uid="{00000000-0005-0000-0000-000053060000}"/>
    <cellStyle name="Migliaia [0] 4 2 5" xfId="6598" xr:uid="{00000000-0005-0000-0000-000054060000}"/>
    <cellStyle name="Migliaia [0] 4 2 6" xfId="4676" xr:uid="{00000000-0005-0000-0000-000055060000}"/>
    <cellStyle name="Migliaia [0] 4 3" xfId="3519" xr:uid="{00000000-0005-0000-0000-000056060000}"/>
    <cellStyle name="Migliaia [0] 4 3 2" xfId="5655" xr:uid="{00000000-0005-0000-0000-000057060000}"/>
    <cellStyle name="Migliaia [0] 4 3 3" xfId="6600" xr:uid="{00000000-0005-0000-0000-000058060000}"/>
    <cellStyle name="Migliaia [0] 4 3 4" xfId="4678" xr:uid="{00000000-0005-0000-0000-000059060000}"/>
    <cellStyle name="Migliaia [0] 4 4" xfId="3520" xr:uid="{00000000-0005-0000-0000-00005A060000}"/>
    <cellStyle name="Migliaia [0] 4 5" xfId="5652" xr:uid="{00000000-0005-0000-0000-00005B060000}"/>
    <cellStyle name="Migliaia [0] 4 6" xfId="6597" xr:uid="{00000000-0005-0000-0000-00005C060000}"/>
    <cellStyle name="Migliaia [0] 4 7" xfId="4675" xr:uid="{00000000-0005-0000-0000-00005D060000}"/>
    <cellStyle name="Migliaia [0] 40" xfId="118" xr:uid="{00000000-0005-0000-0000-00005E060000}"/>
    <cellStyle name="Migliaia [0] 40 2" xfId="2049" xr:uid="{00000000-0005-0000-0000-00005F060000}"/>
    <cellStyle name="Migliaia [0] 40 2 2" xfId="3521" xr:uid="{00000000-0005-0000-0000-000060060000}"/>
    <cellStyle name="Migliaia [0] 40 2 2 2" xfId="5658" xr:uid="{00000000-0005-0000-0000-000061060000}"/>
    <cellStyle name="Migliaia [0] 40 2 2 3" xfId="6603" xr:uid="{00000000-0005-0000-0000-000062060000}"/>
    <cellStyle name="Migliaia [0] 40 2 2 4" xfId="4681" xr:uid="{00000000-0005-0000-0000-000063060000}"/>
    <cellStyle name="Migliaia [0] 40 2 3" xfId="3522" xr:uid="{00000000-0005-0000-0000-000064060000}"/>
    <cellStyle name="Migliaia [0] 40 2 4" xfId="5657" xr:uid="{00000000-0005-0000-0000-000065060000}"/>
    <cellStyle name="Migliaia [0] 40 2 5" xfId="6602" xr:uid="{00000000-0005-0000-0000-000066060000}"/>
    <cellStyle name="Migliaia [0] 40 2 6" xfId="4680" xr:uid="{00000000-0005-0000-0000-000067060000}"/>
    <cellStyle name="Migliaia [0] 40 3" xfId="3523" xr:uid="{00000000-0005-0000-0000-000068060000}"/>
    <cellStyle name="Migliaia [0] 40 3 2" xfId="5659" xr:uid="{00000000-0005-0000-0000-000069060000}"/>
    <cellStyle name="Migliaia [0] 40 3 3" xfId="6604" xr:uid="{00000000-0005-0000-0000-00006A060000}"/>
    <cellStyle name="Migliaia [0] 40 3 4" xfId="4682" xr:uid="{00000000-0005-0000-0000-00006B060000}"/>
    <cellStyle name="Migliaia [0] 40 4" xfId="3524" xr:uid="{00000000-0005-0000-0000-00006C060000}"/>
    <cellStyle name="Migliaia [0] 40 5" xfId="5656" xr:uid="{00000000-0005-0000-0000-00006D060000}"/>
    <cellStyle name="Migliaia [0] 40 6" xfId="6601" xr:uid="{00000000-0005-0000-0000-00006E060000}"/>
    <cellStyle name="Migliaia [0] 40 7" xfId="4679" xr:uid="{00000000-0005-0000-0000-00006F060000}"/>
    <cellStyle name="Migliaia [0] 41" xfId="119" xr:uid="{00000000-0005-0000-0000-000070060000}"/>
    <cellStyle name="Migliaia [0] 41 2" xfId="2050" xr:uid="{00000000-0005-0000-0000-000071060000}"/>
    <cellStyle name="Migliaia [0] 41 2 2" xfId="3525" xr:uid="{00000000-0005-0000-0000-000072060000}"/>
    <cellStyle name="Migliaia [0] 41 2 2 2" xfId="5662" xr:uid="{00000000-0005-0000-0000-000073060000}"/>
    <cellStyle name="Migliaia [0] 41 2 2 3" xfId="6607" xr:uid="{00000000-0005-0000-0000-000074060000}"/>
    <cellStyle name="Migliaia [0] 41 2 2 4" xfId="4685" xr:uid="{00000000-0005-0000-0000-000075060000}"/>
    <cellStyle name="Migliaia [0] 41 2 3" xfId="3526" xr:uid="{00000000-0005-0000-0000-000076060000}"/>
    <cellStyle name="Migliaia [0] 41 2 4" xfId="5661" xr:uid="{00000000-0005-0000-0000-000077060000}"/>
    <cellStyle name="Migliaia [0] 41 2 5" xfId="6606" xr:uid="{00000000-0005-0000-0000-000078060000}"/>
    <cellStyle name="Migliaia [0] 41 2 6" xfId="4684" xr:uid="{00000000-0005-0000-0000-000079060000}"/>
    <cellStyle name="Migliaia [0] 41 3" xfId="3527" xr:uid="{00000000-0005-0000-0000-00007A060000}"/>
    <cellStyle name="Migliaia [0] 41 3 2" xfId="5663" xr:uid="{00000000-0005-0000-0000-00007B060000}"/>
    <cellStyle name="Migliaia [0] 41 3 3" xfId="6608" xr:uid="{00000000-0005-0000-0000-00007C060000}"/>
    <cellStyle name="Migliaia [0] 41 3 4" xfId="4686" xr:uid="{00000000-0005-0000-0000-00007D060000}"/>
    <cellStyle name="Migliaia [0] 41 4" xfId="3528" xr:uid="{00000000-0005-0000-0000-00007E060000}"/>
    <cellStyle name="Migliaia [0] 41 5" xfId="5660" xr:uid="{00000000-0005-0000-0000-00007F060000}"/>
    <cellStyle name="Migliaia [0] 41 6" xfId="6605" xr:uid="{00000000-0005-0000-0000-000080060000}"/>
    <cellStyle name="Migliaia [0] 41 7" xfId="4683" xr:uid="{00000000-0005-0000-0000-000081060000}"/>
    <cellStyle name="Migliaia [0] 42" xfId="120" xr:uid="{00000000-0005-0000-0000-000082060000}"/>
    <cellStyle name="Migliaia [0] 42 2" xfId="2051" xr:uid="{00000000-0005-0000-0000-000083060000}"/>
    <cellStyle name="Migliaia [0] 42 2 2" xfId="3529" xr:uid="{00000000-0005-0000-0000-000084060000}"/>
    <cellStyle name="Migliaia [0] 42 2 2 2" xfId="5666" xr:uid="{00000000-0005-0000-0000-000085060000}"/>
    <cellStyle name="Migliaia [0] 42 2 2 3" xfId="6611" xr:uid="{00000000-0005-0000-0000-000086060000}"/>
    <cellStyle name="Migliaia [0] 42 2 2 4" xfId="4689" xr:uid="{00000000-0005-0000-0000-000087060000}"/>
    <cellStyle name="Migliaia [0] 42 2 3" xfId="3530" xr:uid="{00000000-0005-0000-0000-000088060000}"/>
    <cellStyle name="Migliaia [0] 42 2 4" xfId="5665" xr:uid="{00000000-0005-0000-0000-000089060000}"/>
    <cellStyle name="Migliaia [0] 42 2 5" xfId="6610" xr:uid="{00000000-0005-0000-0000-00008A060000}"/>
    <cellStyle name="Migliaia [0] 42 2 6" xfId="4688" xr:uid="{00000000-0005-0000-0000-00008B060000}"/>
    <cellStyle name="Migliaia [0] 42 3" xfId="3531" xr:uid="{00000000-0005-0000-0000-00008C060000}"/>
    <cellStyle name="Migliaia [0] 42 3 2" xfId="5667" xr:uid="{00000000-0005-0000-0000-00008D060000}"/>
    <cellStyle name="Migliaia [0] 42 3 3" xfId="6612" xr:uid="{00000000-0005-0000-0000-00008E060000}"/>
    <cellStyle name="Migliaia [0] 42 3 4" xfId="4690" xr:uid="{00000000-0005-0000-0000-00008F060000}"/>
    <cellStyle name="Migliaia [0] 42 4" xfId="3532" xr:uid="{00000000-0005-0000-0000-000090060000}"/>
    <cellStyle name="Migliaia [0] 42 5" xfId="5664" xr:uid="{00000000-0005-0000-0000-000091060000}"/>
    <cellStyle name="Migliaia [0] 42 6" xfId="6609" xr:uid="{00000000-0005-0000-0000-000092060000}"/>
    <cellStyle name="Migliaia [0] 42 7" xfId="4687" xr:uid="{00000000-0005-0000-0000-000093060000}"/>
    <cellStyle name="Migliaia [0] 43" xfId="121" xr:uid="{00000000-0005-0000-0000-000094060000}"/>
    <cellStyle name="Migliaia [0] 43 2" xfId="2052" xr:uid="{00000000-0005-0000-0000-000095060000}"/>
    <cellStyle name="Migliaia [0] 43 2 2" xfId="3533" xr:uid="{00000000-0005-0000-0000-000096060000}"/>
    <cellStyle name="Migliaia [0] 43 2 2 2" xfId="5670" xr:uid="{00000000-0005-0000-0000-000097060000}"/>
    <cellStyle name="Migliaia [0] 43 2 2 3" xfId="6615" xr:uid="{00000000-0005-0000-0000-000098060000}"/>
    <cellStyle name="Migliaia [0] 43 2 2 4" xfId="4693" xr:uid="{00000000-0005-0000-0000-000099060000}"/>
    <cellStyle name="Migliaia [0] 43 2 3" xfId="3534" xr:uid="{00000000-0005-0000-0000-00009A060000}"/>
    <cellStyle name="Migliaia [0] 43 2 4" xfId="5669" xr:uid="{00000000-0005-0000-0000-00009B060000}"/>
    <cellStyle name="Migliaia [0] 43 2 5" xfId="6614" xr:uid="{00000000-0005-0000-0000-00009C060000}"/>
    <cellStyle name="Migliaia [0] 43 2 6" xfId="4692" xr:uid="{00000000-0005-0000-0000-00009D060000}"/>
    <cellStyle name="Migliaia [0] 43 3" xfId="3535" xr:uid="{00000000-0005-0000-0000-00009E060000}"/>
    <cellStyle name="Migliaia [0] 43 3 2" xfId="5671" xr:uid="{00000000-0005-0000-0000-00009F060000}"/>
    <cellStyle name="Migliaia [0] 43 3 3" xfId="6616" xr:uid="{00000000-0005-0000-0000-0000A0060000}"/>
    <cellStyle name="Migliaia [0] 43 3 4" xfId="4694" xr:uid="{00000000-0005-0000-0000-0000A1060000}"/>
    <cellStyle name="Migliaia [0] 43 4" xfId="3536" xr:uid="{00000000-0005-0000-0000-0000A2060000}"/>
    <cellStyle name="Migliaia [0] 43 5" xfId="5668" xr:uid="{00000000-0005-0000-0000-0000A3060000}"/>
    <cellStyle name="Migliaia [0] 43 6" xfId="6613" xr:uid="{00000000-0005-0000-0000-0000A4060000}"/>
    <cellStyle name="Migliaia [0] 43 7" xfId="4691" xr:uid="{00000000-0005-0000-0000-0000A5060000}"/>
    <cellStyle name="Migliaia [0] 44" xfId="122" xr:uid="{00000000-0005-0000-0000-0000A6060000}"/>
    <cellStyle name="Migliaia [0] 44 2" xfId="2053" xr:uid="{00000000-0005-0000-0000-0000A7060000}"/>
    <cellStyle name="Migliaia [0] 44 2 2" xfId="3537" xr:uid="{00000000-0005-0000-0000-0000A8060000}"/>
    <cellStyle name="Migliaia [0] 44 2 2 2" xfId="5674" xr:uid="{00000000-0005-0000-0000-0000A9060000}"/>
    <cellStyle name="Migliaia [0] 44 2 2 3" xfId="6619" xr:uid="{00000000-0005-0000-0000-0000AA060000}"/>
    <cellStyle name="Migliaia [0] 44 2 2 4" xfId="4697" xr:uid="{00000000-0005-0000-0000-0000AB060000}"/>
    <cellStyle name="Migliaia [0] 44 2 3" xfId="3538" xr:uid="{00000000-0005-0000-0000-0000AC060000}"/>
    <cellStyle name="Migliaia [0] 44 2 4" xfId="5673" xr:uid="{00000000-0005-0000-0000-0000AD060000}"/>
    <cellStyle name="Migliaia [0] 44 2 5" xfId="6618" xr:uid="{00000000-0005-0000-0000-0000AE060000}"/>
    <cellStyle name="Migliaia [0] 44 2 6" xfId="4696" xr:uid="{00000000-0005-0000-0000-0000AF060000}"/>
    <cellStyle name="Migliaia [0] 44 3" xfId="3539" xr:uid="{00000000-0005-0000-0000-0000B0060000}"/>
    <cellStyle name="Migliaia [0] 44 3 2" xfId="5675" xr:uid="{00000000-0005-0000-0000-0000B1060000}"/>
    <cellStyle name="Migliaia [0] 44 3 3" xfId="6620" xr:uid="{00000000-0005-0000-0000-0000B2060000}"/>
    <cellStyle name="Migliaia [0] 44 3 4" xfId="4698" xr:uid="{00000000-0005-0000-0000-0000B3060000}"/>
    <cellStyle name="Migliaia [0] 44 4" xfId="3540" xr:uid="{00000000-0005-0000-0000-0000B4060000}"/>
    <cellStyle name="Migliaia [0] 44 5" xfId="5672" xr:uid="{00000000-0005-0000-0000-0000B5060000}"/>
    <cellStyle name="Migliaia [0] 44 6" xfId="6617" xr:uid="{00000000-0005-0000-0000-0000B6060000}"/>
    <cellStyle name="Migliaia [0] 44 7" xfId="4695" xr:uid="{00000000-0005-0000-0000-0000B7060000}"/>
    <cellStyle name="Migliaia [0] 45" xfId="123" xr:uid="{00000000-0005-0000-0000-0000B8060000}"/>
    <cellStyle name="Migliaia [0] 45 2" xfId="2054" xr:uid="{00000000-0005-0000-0000-0000B9060000}"/>
    <cellStyle name="Migliaia [0] 45 2 2" xfId="3541" xr:uid="{00000000-0005-0000-0000-0000BA060000}"/>
    <cellStyle name="Migliaia [0] 45 2 2 2" xfId="5678" xr:uid="{00000000-0005-0000-0000-0000BB060000}"/>
    <cellStyle name="Migliaia [0] 45 2 2 3" xfId="6623" xr:uid="{00000000-0005-0000-0000-0000BC060000}"/>
    <cellStyle name="Migliaia [0] 45 2 2 4" xfId="4701" xr:uid="{00000000-0005-0000-0000-0000BD060000}"/>
    <cellStyle name="Migliaia [0] 45 2 3" xfId="3542" xr:uid="{00000000-0005-0000-0000-0000BE060000}"/>
    <cellStyle name="Migliaia [0] 45 2 4" xfId="5677" xr:uid="{00000000-0005-0000-0000-0000BF060000}"/>
    <cellStyle name="Migliaia [0] 45 2 5" xfId="6622" xr:uid="{00000000-0005-0000-0000-0000C0060000}"/>
    <cellStyle name="Migliaia [0] 45 2 6" xfId="4700" xr:uid="{00000000-0005-0000-0000-0000C1060000}"/>
    <cellStyle name="Migliaia [0] 45 3" xfId="3543" xr:uid="{00000000-0005-0000-0000-0000C2060000}"/>
    <cellStyle name="Migliaia [0] 45 3 2" xfId="5679" xr:uid="{00000000-0005-0000-0000-0000C3060000}"/>
    <cellStyle name="Migliaia [0] 45 3 3" xfId="6624" xr:uid="{00000000-0005-0000-0000-0000C4060000}"/>
    <cellStyle name="Migliaia [0] 45 3 4" xfId="4702" xr:uid="{00000000-0005-0000-0000-0000C5060000}"/>
    <cellStyle name="Migliaia [0] 45 4" xfId="3544" xr:uid="{00000000-0005-0000-0000-0000C6060000}"/>
    <cellStyle name="Migliaia [0] 45 5" xfId="5676" xr:uid="{00000000-0005-0000-0000-0000C7060000}"/>
    <cellStyle name="Migliaia [0] 45 6" xfId="6621" xr:uid="{00000000-0005-0000-0000-0000C8060000}"/>
    <cellStyle name="Migliaia [0] 45 7" xfId="4699" xr:uid="{00000000-0005-0000-0000-0000C9060000}"/>
    <cellStyle name="Migliaia [0] 46" xfId="124" xr:uid="{00000000-0005-0000-0000-0000CA060000}"/>
    <cellStyle name="Migliaia [0] 46 2" xfId="2055" xr:uid="{00000000-0005-0000-0000-0000CB060000}"/>
    <cellStyle name="Migliaia [0] 46 2 2" xfId="3545" xr:uid="{00000000-0005-0000-0000-0000CC060000}"/>
    <cellStyle name="Migliaia [0] 46 2 2 2" xfId="5682" xr:uid="{00000000-0005-0000-0000-0000CD060000}"/>
    <cellStyle name="Migliaia [0] 46 2 2 3" xfId="6627" xr:uid="{00000000-0005-0000-0000-0000CE060000}"/>
    <cellStyle name="Migliaia [0] 46 2 2 4" xfId="4705" xr:uid="{00000000-0005-0000-0000-0000CF060000}"/>
    <cellStyle name="Migliaia [0] 46 2 3" xfId="3546" xr:uid="{00000000-0005-0000-0000-0000D0060000}"/>
    <cellStyle name="Migliaia [0] 46 2 4" xfId="5681" xr:uid="{00000000-0005-0000-0000-0000D1060000}"/>
    <cellStyle name="Migliaia [0] 46 2 5" xfId="6626" xr:uid="{00000000-0005-0000-0000-0000D2060000}"/>
    <cellStyle name="Migliaia [0] 46 2 6" xfId="4704" xr:uid="{00000000-0005-0000-0000-0000D3060000}"/>
    <cellStyle name="Migliaia [0] 46 3" xfId="3547" xr:uid="{00000000-0005-0000-0000-0000D4060000}"/>
    <cellStyle name="Migliaia [0] 46 3 2" xfId="5683" xr:uid="{00000000-0005-0000-0000-0000D5060000}"/>
    <cellStyle name="Migliaia [0] 46 3 3" xfId="6628" xr:uid="{00000000-0005-0000-0000-0000D6060000}"/>
    <cellStyle name="Migliaia [0] 46 3 4" xfId="4706" xr:uid="{00000000-0005-0000-0000-0000D7060000}"/>
    <cellStyle name="Migliaia [0] 46 4" xfId="3548" xr:uid="{00000000-0005-0000-0000-0000D8060000}"/>
    <cellStyle name="Migliaia [0] 46 5" xfId="5680" xr:uid="{00000000-0005-0000-0000-0000D9060000}"/>
    <cellStyle name="Migliaia [0] 46 6" xfId="6625" xr:uid="{00000000-0005-0000-0000-0000DA060000}"/>
    <cellStyle name="Migliaia [0] 46 7" xfId="4703" xr:uid="{00000000-0005-0000-0000-0000DB060000}"/>
    <cellStyle name="Migliaia [0] 47" xfId="125" xr:uid="{00000000-0005-0000-0000-0000DC060000}"/>
    <cellStyle name="Migliaia [0] 47 2" xfId="2056" xr:uid="{00000000-0005-0000-0000-0000DD060000}"/>
    <cellStyle name="Migliaia [0] 47 2 2" xfId="3549" xr:uid="{00000000-0005-0000-0000-0000DE060000}"/>
    <cellStyle name="Migliaia [0] 47 2 2 2" xfId="5686" xr:uid="{00000000-0005-0000-0000-0000DF060000}"/>
    <cellStyle name="Migliaia [0] 47 2 2 3" xfId="6631" xr:uid="{00000000-0005-0000-0000-0000E0060000}"/>
    <cellStyle name="Migliaia [0] 47 2 2 4" xfId="4709" xr:uid="{00000000-0005-0000-0000-0000E1060000}"/>
    <cellStyle name="Migliaia [0] 47 2 3" xfId="3550" xr:uid="{00000000-0005-0000-0000-0000E2060000}"/>
    <cellStyle name="Migliaia [0] 47 2 4" xfId="5685" xr:uid="{00000000-0005-0000-0000-0000E3060000}"/>
    <cellStyle name="Migliaia [0] 47 2 5" xfId="6630" xr:uid="{00000000-0005-0000-0000-0000E4060000}"/>
    <cellStyle name="Migliaia [0] 47 2 6" xfId="4708" xr:uid="{00000000-0005-0000-0000-0000E5060000}"/>
    <cellStyle name="Migliaia [0] 47 3" xfId="3551" xr:uid="{00000000-0005-0000-0000-0000E6060000}"/>
    <cellStyle name="Migliaia [0] 47 3 2" xfId="5687" xr:uid="{00000000-0005-0000-0000-0000E7060000}"/>
    <cellStyle name="Migliaia [0] 47 3 3" xfId="6632" xr:uid="{00000000-0005-0000-0000-0000E8060000}"/>
    <cellStyle name="Migliaia [0] 47 3 4" xfId="4710" xr:uid="{00000000-0005-0000-0000-0000E9060000}"/>
    <cellStyle name="Migliaia [0] 47 4" xfId="3552" xr:uid="{00000000-0005-0000-0000-0000EA060000}"/>
    <cellStyle name="Migliaia [0] 47 5" xfId="5684" xr:uid="{00000000-0005-0000-0000-0000EB060000}"/>
    <cellStyle name="Migliaia [0] 47 6" xfId="6629" xr:uid="{00000000-0005-0000-0000-0000EC060000}"/>
    <cellStyle name="Migliaia [0] 47 7" xfId="4707" xr:uid="{00000000-0005-0000-0000-0000ED060000}"/>
    <cellStyle name="Migliaia [0] 48" xfId="126" xr:uid="{00000000-0005-0000-0000-0000EE060000}"/>
    <cellStyle name="Migliaia [0] 48 2" xfId="2057" xr:uid="{00000000-0005-0000-0000-0000EF060000}"/>
    <cellStyle name="Migliaia [0] 48 2 2" xfId="3553" xr:uid="{00000000-0005-0000-0000-0000F0060000}"/>
    <cellStyle name="Migliaia [0] 48 2 2 2" xfId="5690" xr:uid="{00000000-0005-0000-0000-0000F1060000}"/>
    <cellStyle name="Migliaia [0] 48 2 2 3" xfId="6635" xr:uid="{00000000-0005-0000-0000-0000F2060000}"/>
    <cellStyle name="Migliaia [0] 48 2 2 4" xfId="4713" xr:uid="{00000000-0005-0000-0000-0000F3060000}"/>
    <cellStyle name="Migliaia [0] 48 2 3" xfId="3554" xr:uid="{00000000-0005-0000-0000-0000F4060000}"/>
    <cellStyle name="Migliaia [0] 48 2 4" xfId="5689" xr:uid="{00000000-0005-0000-0000-0000F5060000}"/>
    <cellStyle name="Migliaia [0] 48 2 5" xfId="6634" xr:uid="{00000000-0005-0000-0000-0000F6060000}"/>
    <cellStyle name="Migliaia [0] 48 2 6" xfId="4712" xr:uid="{00000000-0005-0000-0000-0000F7060000}"/>
    <cellStyle name="Migliaia [0] 48 3" xfId="3555" xr:uid="{00000000-0005-0000-0000-0000F8060000}"/>
    <cellStyle name="Migliaia [0] 48 3 2" xfId="5691" xr:uid="{00000000-0005-0000-0000-0000F9060000}"/>
    <cellStyle name="Migliaia [0] 48 3 3" xfId="6636" xr:uid="{00000000-0005-0000-0000-0000FA060000}"/>
    <cellStyle name="Migliaia [0] 48 3 4" xfId="4714" xr:uid="{00000000-0005-0000-0000-0000FB060000}"/>
    <cellStyle name="Migliaia [0] 48 4" xfId="3556" xr:uid="{00000000-0005-0000-0000-0000FC060000}"/>
    <cellStyle name="Migliaia [0] 48 5" xfId="5688" xr:uid="{00000000-0005-0000-0000-0000FD060000}"/>
    <cellStyle name="Migliaia [0] 48 6" xfId="6633" xr:uid="{00000000-0005-0000-0000-0000FE060000}"/>
    <cellStyle name="Migliaia [0] 48 7" xfId="4711" xr:uid="{00000000-0005-0000-0000-0000FF060000}"/>
    <cellStyle name="Migliaia [0] 49" xfId="127" xr:uid="{00000000-0005-0000-0000-000000070000}"/>
    <cellStyle name="Migliaia [0] 49 2" xfId="2058" xr:uid="{00000000-0005-0000-0000-000001070000}"/>
    <cellStyle name="Migliaia [0] 49 2 2" xfId="3557" xr:uid="{00000000-0005-0000-0000-000002070000}"/>
    <cellStyle name="Migliaia [0] 49 2 2 2" xfId="5694" xr:uid="{00000000-0005-0000-0000-000003070000}"/>
    <cellStyle name="Migliaia [0] 49 2 2 3" xfId="6639" xr:uid="{00000000-0005-0000-0000-000004070000}"/>
    <cellStyle name="Migliaia [0] 49 2 2 4" xfId="4717" xr:uid="{00000000-0005-0000-0000-000005070000}"/>
    <cellStyle name="Migliaia [0] 49 2 3" xfId="3558" xr:uid="{00000000-0005-0000-0000-000006070000}"/>
    <cellStyle name="Migliaia [0] 49 2 4" xfId="5693" xr:uid="{00000000-0005-0000-0000-000007070000}"/>
    <cellStyle name="Migliaia [0] 49 2 5" xfId="6638" xr:uid="{00000000-0005-0000-0000-000008070000}"/>
    <cellStyle name="Migliaia [0] 49 2 6" xfId="4716" xr:uid="{00000000-0005-0000-0000-000009070000}"/>
    <cellStyle name="Migliaia [0] 49 3" xfId="3559" xr:uid="{00000000-0005-0000-0000-00000A070000}"/>
    <cellStyle name="Migliaia [0] 49 3 2" xfId="5695" xr:uid="{00000000-0005-0000-0000-00000B070000}"/>
    <cellStyle name="Migliaia [0] 49 3 3" xfId="6640" xr:uid="{00000000-0005-0000-0000-00000C070000}"/>
    <cellStyle name="Migliaia [0] 49 3 4" xfId="4718" xr:uid="{00000000-0005-0000-0000-00000D070000}"/>
    <cellStyle name="Migliaia [0] 49 4" xfId="3560" xr:uid="{00000000-0005-0000-0000-00000E070000}"/>
    <cellStyle name="Migliaia [0] 49 5" xfId="5692" xr:uid="{00000000-0005-0000-0000-00000F070000}"/>
    <cellStyle name="Migliaia [0] 49 6" xfId="6637" xr:uid="{00000000-0005-0000-0000-000010070000}"/>
    <cellStyle name="Migliaia [0] 49 7" xfId="4715" xr:uid="{00000000-0005-0000-0000-000011070000}"/>
    <cellStyle name="Migliaia [0] 5" xfId="128" xr:uid="{00000000-0005-0000-0000-000012070000}"/>
    <cellStyle name="Migliaia [0] 5 2" xfId="2059" xr:uid="{00000000-0005-0000-0000-000013070000}"/>
    <cellStyle name="Migliaia [0] 5 2 2" xfId="3561" xr:uid="{00000000-0005-0000-0000-000014070000}"/>
    <cellStyle name="Migliaia [0] 5 2 2 2" xfId="5698" xr:uid="{00000000-0005-0000-0000-000015070000}"/>
    <cellStyle name="Migliaia [0] 5 2 2 3" xfId="6643" xr:uid="{00000000-0005-0000-0000-000016070000}"/>
    <cellStyle name="Migliaia [0] 5 2 2 4" xfId="4721" xr:uid="{00000000-0005-0000-0000-000017070000}"/>
    <cellStyle name="Migliaia [0] 5 2 3" xfId="3562" xr:uid="{00000000-0005-0000-0000-000018070000}"/>
    <cellStyle name="Migliaia [0] 5 2 4" xfId="5697" xr:uid="{00000000-0005-0000-0000-000019070000}"/>
    <cellStyle name="Migliaia [0] 5 2 5" xfId="6642" xr:uid="{00000000-0005-0000-0000-00001A070000}"/>
    <cellStyle name="Migliaia [0] 5 2 6" xfId="4720" xr:uid="{00000000-0005-0000-0000-00001B070000}"/>
    <cellStyle name="Migliaia [0] 5 3" xfId="3563" xr:uid="{00000000-0005-0000-0000-00001C070000}"/>
    <cellStyle name="Migliaia [0] 5 3 2" xfId="5699" xr:uid="{00000000-0005-0000-0000-00001D070000}"/>
    <cellStyle name="Migliaia [0] 5 3 3" xfId="6644" xr:uid="{00000000-0005-0000-0000-00001E070000}"/>
    <cellStyle name="Migliaia [0] 5 3 4" xfId="4722" xr:uid="{00000000-0005-0000-0000-00001F070000}"/>
    <cellStyle name="Migliaia [0] 5 4" xfId="3564" xr:uid="{00000000-0005-0000-0000-000020070000}"/>
    <cellStyle name="Migliaia [0] 5 5" xfId="5696" xr:uid="{00000000-0005-0000-0000-000021070000}"/>
    <cellStyle name="Migliaia [0] 5 6" xfId="6641" xr:uid="{00000000-0005-0000-0000-000022070000}"/>
    <cellStyle name="Migliaia [0] 5 7" xfId="4719" xr:uid="{00000000-0005-0000-0000-000023070000}"/>
    <cellStyle name="Migliaia [0] 50" xfId="129" xr:uid="{00000000-0005-0000-0000-000024070000}"/>
    <cellStyle name="Migliaia [0] 50 2" xfId="2060" xr:uid="{00000000-0005-0000-0000-000025070000}"/>
    <cellStyle name="Migliaia [0] 50 2 2" xfId="3565" xr:uid="{00000000-0005-0000-0000-000026070000}"/>
    <cellStyle name="Migliaia [0] 50 2 2 2" xfId="5702" xr:uid="{00000000-0005-0000-0000-000027070000}"/>
    <cellStyle name="Migliaia [0] 50 2 2 3" xfId="6647" xr:uid="{00000000-0005-0000-0000-000028070000}"/>
    <cellStyle name="Migliaia [0] 50 2 2 4" xfId="4725" xr:uid="{00000000-0005-0000-0000-000029070000}"/>
    <cellStyle name="Migliaia [0] 50 2 3" xfId="3566" xr:uid="{00000000-0005-0000-0000-00002A070000}"/>
    <cellStyle name="Migliaia [0] 50 2 4" xfId="5701" xr:uid="{00000000-0005-0000-0000-00002B070000}"/>
    <cellStyle name="Migliaia [0] 50 2 5" xfId="6646" xr:uid="{00000000-0005-0000-0000-00002C070000}"/>
    <cellStyle name="Migliaia [0] 50 2 6" xfId="4724" xr:uid="{00000000-0005-0000-0000-00002D070000}"/>
    <cellStyle name="Migliaia [0] 50 3" xfId="3567" xr:uid="{00000000-0005-0000-0000-00002E070000}"/>
    <cellStyle name="Migliaia [0] 50 3 2" xfId="5703" xr:uid="{00000000-0005-0000-0000-00002F070000}"/>
    <cellStyle name="Migliaia [0] 50 3 3" xfId="6648" xr:uid="{00000000-0005-0000-0000-000030070000}"/>
    <cellStyle name="Migliaia [0] 50 3 4" xfId="4726" xr:uid="{00000000-0005-0000-0000-000031070000}"/>
    <cellStyle name="Migliaia [0] 50 4" xfId="3568" xr:uid="{00000000-0005-0000-0000-000032070000}"/>
    <cellStyle name="Migliaia [0] 50 5" xfId="5700" xr:uid="{00000000-0005-0000-0000-000033070000}"/>
    <cellStyle name="Migliaia [0] 50 6" xfId="6645" xr:uid="{00000000-0005-0000-0000-000034070000}"/>
    <cellStyle name="Migliaia [0] 50 7" xfId="4723" xr:uid="{00000000-0005-0000-0000-000035070000}"/>
    <cellStyle name="Migliaia [0] 51" xfId="130" xr:uid="{00000000-0005-0000-0000-000036070000}"/>
    <cellStyle name="Migliaia [0] 51 2" xfId="2061" xr:uid="{00000000-0005-0000-0000-000037070000}"/>
    <cellStyle name="Migliaia [0] 51 2 2" xfId="3569" xr:uid="{00000000-0005-0000-0000-000038070000}"/>
    <cellStyle name="Migliaia [0] 51 2 2 2" xfId="5706" xr:uid="{00000000-0005-0000-0000-000039070000}"/>
    <cellStyle name="Migliaia [0] 51 2 2 3" xfId="6651" xr:uid="{00000000-0005-0000-0000-00003A070000}"/>
    <cellStyle name="Migliaia [0] 51 2 2 4" xfId="4729" xr:uid="{00000000-0005-0000-0000-00003B070000}"/>
    <cellStyle name="Migliaia [0] 51 2 3" xfId="3570" xr:uid="{00000000-0005-0000-0000-00003C070000}"/>
    <cellStyle name="Migliaia [0] 51 2 4" xfId="5705" xr:uid="{00000000-0005-0000-0000-00003D070000}"/>
    <cellStyle name="Migliaia [0] 51 2 5" xfId="6650" xr:uid="{00000000-0005-0000-0000-00003E070000}"/>
    <cellStyle name="Migliaia [0] 51 2 6" xfId="4728" xr:uid="{00000000-0005-0000-0000-00003F070000}"/>
    <cellStyle name="Migliaia [0] 51 3" xfId="3571" xr:uid="{00000000-0005-0000-0000-000040070000}"/>
    <cellStyle name="Migliaia [0] 51 3 2" xfId="5707" xr:uid="{00000000-0005-0000-0000-000041070000}"/>
    <cellStyle name="Migliaia [0] 51 3 3" xfId="6652" xr:uid="{00000000-0005-0000-0000-000042070000}"/>
    <cellStyle name="Migliaia [0] 51 3 4" xfId="4730" xr:uid="{00000000-0005-0000-0000-000043070000}"/>
    <cellStyle name="Migliaia [0] 51 4" xfId="3572" xr:uid="{00000000-0005-0000-0000-000044070000}"/>
    <cellStyle name="Migliaia [0] 51 5" xfId="5704" xr:uid="{00000000-0005-0000-0000-000045070000}"/>
    <cellStyle name="Migliaia [0] 51 6" xfId="6649" xr:uid="{00000000-0005-0000-0000-000046070000}"/>
    <cellStyle name="Migliaia [0] 51 7" xfId="4727" xr:uid="{00000000-0005-0000-0000-000047070000}"/>
    <cellStyle name="Migliaia [0] 52" xfId="131" xr:uid="{00000000-0005-0000-0000-000048070000}"/>
    <cellStyle name="Migliaia [0] 52 2" xfId="2062" xr:uid="{00000000-0005-0000-0000-000049070000}"/>
    <cellStyle name="Migliaia [0] 52 2 2" xfId="3573" xr:uid="{00000000-0005-0000-0000-00004A070000}"/>
    <cellStyle name="Migliaia [0] 52 2 2 2" xfId="5710" xr:uid="{00000000-0005-0000-0000-00004B070000}"/>
    <cellStyle name="Migliaia [0] 52 2 2 3" xfId="6655" xr:uid="{00000000-0005-0000-0000-00004C070000}"/>
    <cellStyle name="Migliaia [0] 52 2 2 4" xfId="4733" xr:uid="{00000000-0005-0000-0000-00004D070000}"/>
    <cellStyle name="Migliaia [0] 52 2 3" xfId="3574" xr:uid="{00000000-0005-0000-0000-00004E070000}"/>
    <cellStyle name="Migliaia [0] 52 2 4" xfId="5709" xr:uid="{00000000-0005-0000-0000-00004F070000}"/>
    <cellStyle name="Migliaia [0] 52 2 5" xfId="6654" xr:uid="{00000000-0005-0000-0000-000050070000}"/>
    <cellStyle name="Migliaia [0] 52 2 6" xfId="4732" xr:uid="{00000000-0005-0000-0000-000051070000}"/>
    <cellStyle name="Migliaia [0] 52 3" xfId="3575" xr:uid="{00000000-0005-0000-0000-000052070000}"/>
    <cellStyle name="Migliaia [0] 52 3 2" xfId="5711" xr:uid="{00000000-0005-0000-0000-000053070000}"/>
    <cellStyle name="Migliaia [0] 52 3 3" xfId="6656" xr:uid="{00000000-0005-0000-0000-000054070000}"/>
    <cellStyle name="Migliaia [0] 52 3 4" xfId="4734" xr:uid="{00000000-0005-0000-0000-000055070000}"/>
    <cellStyle name="Migliaia [0] 52 4" xfId="3576" xr:uid="{00000000-0005-0000-0000-000056070000}"/>
    <cellStyle name="Migliaia [0] 52 5" xfId="5708" xr:uid="{00000000-0005-0000-0000-000057070000}"/>
    <cellStyle name="Migliaia [0] 52 6" xfId="6653" xr:uid="{00000000-0005-0000-0000-000058070000}"/>
    <cellStyle name="Migliaia [0] 52 7" xfId="4731" xr:uid="{00000000-0005-0000-0000-000059070000}"/>
    <cellStyle name="Migliaia [0] 53" xfId="132" xr:uid="{00000000-0005-0000-0000-00005A070000}"/>
    <cellStyle name="Migliaia [0] 53 2" xfId="2063" xr:uid="{00000000-0005-0000-0000-00005B070000}"/>
    <cellStyle name="Migliaia [0] 53 2 2" xfId="3577" xr:uid="{00000000-0005-0000-0000-00005C070000}"/>
    <cellStyle name="Migliaia [0] 53 2 2 2" xfId="5714" xr:uid="{00000000-0005-0000-0000-00005D070000}"/>
    <cellStyle name="Migliaia [0] 53 2 2 3" xfId="6659" xr:uid="{00000000-0005-0000-0000-00005E070000}"/>
    <cellStyle name="Migliaia [0] 53 2 2 4" xfId="4737" xr:uid="{00000000-0005-0000-0000-00005F070000}"/>
    <cellStyle name="Migliaia [0] 53 2 3" xfId="3578" xr:uid="{00000000-0005-0000-0000-000060070000}"/>
    <cellStyle name="Migliaia [0] 53 2 4" xfId="5713" xr:uid="{00000000-0005-0000-0000-000061070000}"/>
    <cellStyle name="Migliaia [0] 53 2 5" xfId="6658" xr:uid="{00000000-0005-0000-0000-000062070000}"/>
    <cellStyle name="Migliaia [0] 53 2 6" xfId="4736" xr:uid="{00000000-0005-0000-0000-000063070000}"/>
    <cellStyle name="Migliaia [0] 53 3" xfId="3579" xr:uid="{00000000-0005-0000-0000-000064070000}"/>
    <cellStyle name="Migliaia [0] 53 3 2" xfId="5715" xr:uid="{00000000-0005-0000-0000-000065070000}"/>
    <cellStyle name="Migliaia [0] 53 3 3" xfId="6660" xr:uid="{00000000-0005-0000-0000-000066070000}"/>
    <cellStyle name="Migliaia [0] 53 3 4" xfId="4738" xr:uid="{00000000-0005-0000-0000-000067070000}"/>
    <cellStyle name="Migliaia [0] 53 4" xfId="3580" xr:uid="{00000000-0005-0000-0000-000068070000}"/>
    <cellStyle name="Migliaia [0] 53 5" xfId="5712" xr:uid="{00000000-0005-0000-0000-000069070000}"/>
    <cellStyle name="Migliaia [0] 53 6" xfId="6657" xr:uid="{00000000-0005-0000-0000-00006A070000}"/>
    <cellStyle name="Migliaia [0] 53 7" xfId="4735" xr:uid="{00000000-0005-0000-0000-00006B070000}"/>
    <cellStyle name="Migliaia [0] 54" xfId="133" xr:uid="{00000000-0005-0000-0000-00006C070000}"/>
    <cellStyle name="Migliaia [0] 54 2" xfId="2064" xr:uid="{00000000-0005-0000-0000-00006D070000}"/>
    <cellStyle name="Migliaia [0] 54 2 2" xfId="3581" xr:uid="{00000000-0005-0000-0000-00006E070000}"/>
    <cellStyle name="Migliaia [0] 54 2 2 2" xfId="5718" xr:uid="{00000000-0005-0000-0000-00006F070000}"/>
    <cellStyle name="Migliaia [0] 54 2 2 3" xfId="6663" xr:uid="{00000000-0005-0000-0000-000070070000}"/>
    <cellStyle name="Migliaia [0] 54 2 2 4" xfId="4741" xr:uid="{00000000-0005-0000-0000-000071070000}"/>
    <cellStyle name="Migliaia [0] 54 2 3" xfId="3582" xr:uid="{00000000-0005-0000-0000-000072070000}"/>
    <cellStyle name="Migliaia [0] 54 2 4" xfId="5717" xr:uid="{00000000-0005-0000-0000-000073070000}"/>
    <cellStyle name="Migliaia [0] 54 2 5" xfId="6662" xr:uid="{00000000-0005-0000-0000-000074070000}"/>
    <cellStyle name="Migliaia [0] 54 2 6" xfId="4740" xr:uid="{00000000-0005-0000-0000-000075070000}"/>
    <cellStyle name="Migliaia [0] 54 3" xfId="3583" xr:uid="{00000000-0005-0000-0000-000076070000}"/>
    <cellStyle name="Migliaia [0] 54 3 2" xfId="5719" xr:uid="{00000000-0005-0000-0000-000077070000}"/>
    <cellStyle name="Migliaia [0] 54 3 3" xfId="6664" xr:uid="{00000000-0005-0000-0000-000078070000}"/>
    <cellStyle name="Migliaia [0] 54 3 4" xfId="4742" xr:uid="{00000000-0005-0000-0000-000079070000}"/>
    <cellStyle name="Migliaia [0] 54 4" xfId="3584" xr:uid="{00000000-0005-0000-0000-00007A070000}"/>
    <cellStyle name="Migliaia [0] 54 5" xfId="5716" xr:uid="{00000000-0005-0000-0000-00007B070000}"/>
    <cellStyle name="Migliaia [0] 54 6" xfId="6661" xr:uid="{00000000-0005-0000-0000-00007C070000}"/>
    <cellStyle name="Migliaia [0] 54 7" xfId="4739" xr:uid="{00000000-0005-0000-0000-00007D070000}"/>
    <cellStyle name="Migliaia [0] 55" xfId="134" xr:uid="{00000000-0005-0000-0000-00007E070000}"/>
    <cellStyle name="Migliaia [0] 55 2" xfId="2065" xr:uid="{00000000-0005-0000-0000-00007F070000}"/>
    <cellStyle name="Migliaia [0] 55 2 2" xfId="3585" xr:uid="{00000000-0005-0000-0000-000080070000}"/>
    <cellStyle name="Migliaia [0] 55 2 2 2" xfId="5722" xr:uid="{00000000-0005-0000-0000-000081070000}"/>
    <cellStyle name="Migliaia [0] 55 2 2 3" xfId="6667" xr:uid="{00000000-0005-0000-0000-000082070000}"/>
    <cellStyle name="Migliaia [0] 55 2 2 4" xfId="4745" xr:uid="{00000000-0005-0000-0000-000083070000}"/>
    <cellStyle name="Migliaia [0] 55 2 3" xfId="3586" xr:uid="{00000000-0005-0000-0000-000084070000}"/>
    <cellStyle name="Migliaia [0] 55 2 4" xfId="5721" xr:uid="{00000000-0005-0000-0000-000085070000}"/>
    <cellStyle name="Migliaia [0] 55 2 5" xfId="6666" xr:uid="{00000000-0005-0000-0000-000086070000}"/>
    <cellStyle name="Migliaia [0] 55 2 6" xfId="4744" xr:uid="{00000000-0005-0000-0000-000087070000}"/>
    <cellStyle name="Migliaia [0] 55 3" xfId="3587" xr:uid="{00000000-0005-0000-0000-000088070000}"/>
    <cellStyle name="Migliaia [0] 55 3 2" xfId="5723" xr:uid="{00000000-0005-0000-0000-000089070000}"/>
    <cellStyle name="Migliaia [0] 55 3 3" xfId="6668" xr:uid="{00000000-0005-0000-0000-00008A070000}"/>
    <cellStyle name="Migliaia [0] 55 3 4" xfId="4746" xr:uid="{00000000-0005-0000-0000-00008B070000}"/>
    <cellStyle name="Migliaia [0] 55 4" xfId="3588" xr:uid="{00000000-0005-0000-0000-00008C070000}"/>
    <cellStyle name="Migliaia [0] 55 5" xfId="5720" xr:uid="{00000000-0005-0000-0000-00008D070000}"/>
    <cellStyle name="Migliaia [0] 55 6" xfId="6665" xr:uid="{00000000-0005-0000-0000-00008E070000}"/>
    <cellStyle name="Migliaia [0] 55 7" xfId="4743" xr:uid="{00000000-0005-0000-0000-00008F070000}"/>
    <cellStyle name="Migliaia [0] 56" xfId="135" xr:uid="{00000000-0005-0000-0000-000090070000}"/>
    <cellStyle name="Migliaia [0] 56 2" xfId="2066" xr:uid="{00000000-0005-0000-0000-000091070000}"/>
    <cellStyle name="Migliaia [0] 56 2 2" xfId="3589" xr:uid="{00000000-0005-0000-0000-000092070000}"/>
    <cellStyle name="Migliaia [0] 56 2 2 2" xfId="5726" xr:uid="{00000000-0005-0000-0000-000093070000}"/>
    <cellStyle name="Migliaia [0] 56 2 2 3" xfId="6671" xr:uid="{00000000-0005-0000-0000-000094070000}"/>
    <cellStyle name="Migliaia [0] 56 2 2 4" xfId="4749" xr:uid="{00000000-0005-0000-0000-000095070000}"/>
    <cellStyle name="Migliaia [0] 56 2 3" xfId="3590" xr:uid="{00000000-0005-0000-0000-000096070000}"/>
    <cellStyle name="Migliaia [0] 56 2 4" xfId="5725" xr:uid="{00000000-0005-0000-0000-000097070000}"/>
    <cellStyle name="Migliaia [0] 56 2 5" xfId="6670" xr:uid="{00000000-0005-0000-0000-000098070000}"/>
    <cellStyle name="Migliaia [0] 56 2 6" xfId="4748" xr:uid="{00000000-0005-0000-0000-000099070000}"/>
    <cellStyle name="Migliaia [0] 56 3" xfId="3591" xr:uid="{00000000-0005-0000-0000-00009A070000}"/>
    <cellStyle name="Migliaia [0] 56 3 2" xfId="5727" xr:uid="{00000000-0005-0000-0000-00009B070000}"/>
    <cellStyle name="Migliaia [0] 56 3 3" xfId="6672" xr:uid="{00000000-0005-0000-0000-00009C070000}"/>
    <cellStyle name="Migliaia [0] 56 3 4" xfId="4750" xr:uid="{00000000-0005-0000-0000-00009D070000}"/>
    <cellStyle name="Migliaia [0] 56 4" xfId="3592" xr:uid="{00000000-0005-0000-0000-00009E070000}"/>
    <cellStyle name="Migliaia [0] 56 5" xfId="5724" xr:uid="{00000000-0005-0000-0000-00009F070000}"/>
    <cellStyle name="Migliaia [0] 56 6" xfId="6669" xr:uid="{00000000-0005-0000-0000-0000A0070000}"/>
    <cellStyle name="Migliaia [0] 56 7" xfId="4747" xr:uid="{00000000-0005-0000-0000-0000A1070000}"/>
    <cellStyle name="Migliaia [0] 57" xfId="136" xr:uid="{00000000-0005-0000-0000-0000A2070000}"/>
    <cellStyle name="Migliaia [0] 57 2" xfId="2067" xr:uid="{00000000-0005-0000-0000-0000A3070000}"/>
    <cellStyle name="Migliaia [0] 57 2 2" xfId="3593" xr:uid="{00000000-0005-0000-0000-0000A4070000}"/>
    <cellStyle name="Migliaia [0] 57 2 2 2" xfId="5730" xr:uid="{00000000-0005-0000-0000-0000A5070000}"/>
    <cellStyle name="Migliaia [0] 57 2 2 3" xfId="6675" xr:uid="{00000000-0005-0000-0000-0000A6070000}"/>
    <cellStyle name="Migliaia [0] 57 2 2 4" xfId="4753" xr:uid="{00000000-0005-0000-0000-0000A7070000}"/>
    <cellStyle name="Migliaia [0] 57 2 3" xfId="3594" xr:uid="{00000000-0005-0000-0000-0000A8070000}"/>
    <cellStyle name="Migliaia [0] 57 2 4" xfId="5729" xr:uid="{00000000-0005-0000-0000-0000A9070000}"/>
    <cellStyle name="Migliaia [0] 57 2 5" xfId="6674" xr:uid="{00000000-0005-0000-0000-0000AA070000}"/>
    <cellStyle name="Migliaia [0] 57 2 6" xfId="4752" xr:uid="{00000000-0005-0000-0000-0000AB070000}"/>
    <cellStyle name="Migliaia [0] 57 3" xfId="3595" xr:uid="{00000000-0005-0000-0000-0000AC070000}"/>
    <cellStyle name="Migliaia [0] 57 3 2" xfId="5731" xr:uid="{00000000-0005-0000-0000-0000AD070000}"/>
    <cellStyle name="Migliaia [0] 57 3 3" xfId="6676" xr:uid="{00000000-0005-0000-0000-0000AE070000}"/>
    <cellStyle name="Migliaia [0] 57 3 4" xfId="4754" xr:uid="{00000000-0005-0000-0000-0000AF070000}"/>
    <cellStyle name="Migliaia [0] 57 4" xfId="3596" xr:uid="{00000000-0005-0000-0000-0000B0070000}"/>
    <cellStyle name="Migliaia [0] 57 5" xfId="5728" xr:uid="{00000000-0005-0000-0000-0000B1070000}"/>
    <cellStyle name="Migliaia [0] 57 6" xfId="6673" xr:uid="{00000000-0005-0000-0000-0000B2070000}"/>
    <cellStyle name="Migliaia [0] 57 7" xfId="4751" xr:uid="{00000000-0005-0000-0000-0000B3070000}"/>
    <cellStyle name="Migliaia [0] 58" xfId="137" xr:uid="{00000000-0005-0000-0000-0000B4070000}"/>
    <cellStyle name="Migliaia [0] 58 2" xfId="2068" xr:uid="{00000000-0005-0000-0000-0000B5070000}"/>
    <cellStyle name="Migliaia [0] 58 2 2" xfId="3597" xr:uid="{00000000-0005-0000-0000-0000B6070000}"/>
    <cellStyle name="Migliaia [0] 58 2 2 2" xfId="5734" xr:uid="{00000000-0005-0000-0000-0000B7070000}"/>
    <cellStyle name="Migliaia [0] 58 2 2 3" xfId="6679" xr:uid="{00000000-0005-0000-0000-0000B8070000}"/>
    <cellStyle name="Migliaia [0] 58 2 2 4" xfId="4757" xr:uid="{00000000-0005-0000-0000-0000B9070000}"/>
    <cellStyle name="Migliaia [0] 58 2 3" xfId="3598" xr:uid="{00000000-0005-0000-0000-0000BA070000}"/>
    <cellStyle name="Migliaia [0] 58 2 4" xfId="5733" xr:uid="{00000000-0005-0000-0000-0000BB070000}"/>
    <cellStyle name="Migliaia [0] 58 2 5" xfId="6678" xr:uid="{00000000-0005-0000-0000-0000BC070000}"/>
    <cellStyle name="Migliaia [0] 58 2 6" xfId="4756" xr:uid="{00000000-0005-0000-0000-0000BD070000}"/>
    <cellStyle name="Migliaia [0] 58 3" xfId="3599" xr:uid="{00000000-0005-0000-0000-0000BE070000}"/>
    <cellStyle name="Migliaia [0] 58 3 2" xfId="5735" xr:uid="{00000000-0005-0000-0000-0000BF070000}"/>
    <cellStyle name="Migliaia [0] 58 3 3" xfId="6680" xr:uid="{00000000-0005-0000-0000-0000C0070000}"/>
    <cellStyle name="Migliaia [0] 58 3 4" xfId="4758" xr:uid="{00000000-0005-0000-0000-0000C1070000}"/>
    <cellStyle name="Migliaia [0] 58 4" xfId="3600" xr:uid="{00000000-0005-0000-0000-0000C2070000}"/>
    <cellStyle name="Migliaia [0] 58 5" xfId="5732" xr:uid="{00000000-0005-0000-0000-0000C3070000}"/>
    <cellStyle name="Migliaia [0] 58 6" xfId="6677" xr:uid="{00000000-0005-0000-0000-0000C4070000}"/>
    <cellStyle name="Migliaia [0] 58 7" xfId="4755" xr:uid="{00000000-0005-0000-0000-0000C5070000}"/>
    <cellStyle name="Migliaia [0] 59" xfId="138" xr:uid="{00000000-0005-0000-0000-0000C6070000}"/>
    <cellStyle name="Migliaia [0] 59 2" xfId="2069" xr:uid="{00000000-0005-0000-0000-0000C7070000}"/>
    <cellStyle name="Migliaia [0] 59 2 2" xfId="3601" xr:uid="{00000000-0005-0000-0000-0000C8070000}"/>
    <cellStyle name="Migliaia [0] 59 2 2 2" xfId="5738" xr:uid="{00000000-0005-0000-0000-0000C9070000}"/>
    <cellStyle name="Migliaia [0] 59 2 2 3" xfId="6683" xr:uid="{00000000-0005-0000-0000-0000CA070000}"/>
    <cellStyle name="Migliaia [0] 59 2 2 4" xfId="4761" xr:uid="{00000000-0005-0000-0000-0000CB070000}"/>
    <cellStyle name="Migliaia [0] 59 2 3" xfId="3602" xr:uid="{00000000-0005-0000-0000-0000CC070000}"/>
    <cellStyle name="Migliaia [0] 59 2 4" xfId="5737" xr:uid="{00000000-0005-0000-0000-0000CD070000}"/>
    <cellStyle name="Migliaia [0] 59 2 5" xfId="6682" xr:uid="{00000000-0005-0000-0000-0000CE070000}"/>
    <cellStyle name="Migliaia [0] 59 2 6" xfId="4760" xr:uid="{00000000-0005-0000-0000-0000CF070000}"/>
    <cellStyle name="Migliaia [0] 59 3" xfId="3603" xr:uid="{00000000-0005-0000-0000-0000D0070000}"/>
    <cellStyle name="Migliaia [0] 59 3 2" xfId="5739" xr:uid="{00000000-0005-0000-0000-0000D1070000}"/>
    <cellStyle name="Migliaia [0] 59 3 3" xfId="6684" xr:uid="{00000000-0005-0000-0000-0000D2070000}"/>
    <cellStyle name="Migliaia [0] 59 3 4" xfId="4762" xr:uid="{00000000-0005-0000-0000-0000D3070000}"/>
    <cellStyle name="Migliaia [0] 59 4" xfId="3604" xr:uid="{00000000-0005-0000-0000-0000D4070000}"/>
    <cellStyle name="Migliaia [0] 59 5" xfId="5736" xr:uid="{00000000-0005-0000-0000-0000D5070000}"/>
    <cellStyle name="Migliaia [0] 59 6" xfId="6681" xr:uid="{00000000-0005-0000-0000-0000D6070000}"/>
    <cellStyle name="Migliaia [0] 59 7" xfId="4759" xr:uid="{00000000-0005-0000-0000-0000D7070000}"/>
    <cellStyle name="Migliaia [0] 6" xfId="139" xr:uid="{00000000-0005-0000-0000-0000D8070000}"/>
    <cellStyle name="Migliaia [0] 6 2" xfId="2070" xr:uid="{00000000-0005-0000-0000-0000D9070000}"/>
    <cellStyle name="Migliaia [0] 6 2 2" xfId="3605" xr:uid="{00000000-0005-0000-0000-0000DA070000}"/>
    <cellStyle name="Migliaia [0] 6 2 2 2" xfId="5742" xr:uid="{00000000-0005-0000-0000-0000DB070000}"/>
    <cellStyle name="Migliaia [0] 6 2 2 3" xfId="6687" xr:uid="{00000000-0005-0000-0000-0000DC070000}"/>
    <cellStyle name="Migliaia [0] 6 2 2 4" xfId="4765" xr:uid="{00000000-0005-0000-0000-0000DD070000}"/>
    <cellStyle name="Migliaia [0] 6 2 3" xfId="3606" xr:uid="{00000000-0005-0000-0000-0000DE070000}"/>
    <cellStyle name="Migliaia [0] 6 2 4" xfId="5741" xr:uid="{00000000-0005-0000-0000-0000DF070000}"/>
    <cellStyle name="Migliaia [0] 6 2 5" xfId="6686" xr:uid="{00000000-0005-0000-0000-0000E0070000}"/>
    <cellStyle name="Migliaia [0] 6 2 6" xfId="4764" xr:uid="{00000000-0005-0000-0000-0000E1070000}"/>
    <cellStyle name="Migliaia [0] 6 3" xfId="3607" xr:uid="{00000000-0005-0000-0000-0000E2070000}"/>
    <cellStyle name="Migliaia [0] 6 3 2" xfId="5743" xr:uid="{00000000-0005-0000-0000-0000E3070000}"/>
    <cellStyle name="Migliaia [0] 6 3 3" xfId="6688" xr:uid="{00000000-0005-0000-0000-0000E4070000}"/>
    <cellStyle name="Migliaia [0] 6 3 4" xfId="4766" xr:uid="{00000000-0005-0000-0000-0000E5070000}"/>
    <cellStyle name="Migliaia [0] 6 4" xfId="3608" xr:uid="{00000000-0005-0000-0000-0000E6070000}"/>
    <cellStyle name="Migliaia [0] 6 5" xfId="5740" xr:uid="{00000000-0005-0000-0000-0000E7070000}"/>
    <cellStyle name="Migliaia [0] 6 6" xfId="6685" xr:uid="{00000000-0005-0000-0000-0000E8070000}"/>
    <cellStyle name="Migliaia [0] 6 7" xfId="4763" xr:uid="{00000000-0005-0000-0000-0000E9070000}"/>
    <cellStyle name="Migliaia [0] 7" xfId="140" xr:uid="{00000000-0005-0000-0000-0000EA070000}"/>
    <cellStyle name="Migliaia [0] 7 2" xfId="2071" xr:uid="{00000000-0005-0000-0000-0000EB070000}"/>
    <cellStyle name="Migliaia [0] 7 2 2" xfId="3609" xr:uid="{00000000-0005-0000-0000-0000EC070000}"/>
    <cellStyle name="Migliaia [0] 7 2 2 2" xfId="5746" xr:uid="{00000000-0005-0000-0000-0000ED070000}"/>
    <cellStyle name="Migliaia [0] 7 2 2 3" xfId="6691" xr:uid="{00000000-0005-0000-0000-0000EE070000}"/>
    <cellStyle name="Migliaia [0] 7 2 2 4" xfId="4769" xr:uid="{00000000-0005-0000-0000-0000EF070000}"/>
    <cellStyle name="Migliaia [0] 7 2 3" xfId="3610" xr:uid="{00000000-0005-0000-0000-0000F0070000}"/>
    <cellStyle name="Migliaia [0] 7 2 4" xfId="5745" xr:uid="{00000000-0005-0000-0000-0000F1070000}"/>
    <cellStyle name="Migliaia [0] 7 2 5" xfId="6690" xr:uid="{00000000-0005-0000-0000-0000F2070000}"/>
    <cellStyle name="Migliaia [0] 7 2 6" xfId="4768" xr:uid="{00000000-0005-0000-0000-0000F3070000}"/>
    <cellStyle name="Migliaia [0] 7 3" xfId="3611" xr:uid="{00000000-0005-0000-0000-0000F4070000}"/>
    <cellStyle name="Migliaia [0] 7 3 2" xfId="5747" xr:uid="{00000000-0005-0000-0000-0000F5070000}"/>
    <cellStyle name="Migliaia [0] 7 3 3" xfId="6692" xr:uid="{00000000-0005-0000-0000-0000F6070000}"/>
    <cellStyle name="Migliaia [0] 7 3 4" xfId="4770" xr:uid="{00000000-0005-0000-0000-0000F7070000}"/>
    <cellStyle name="Migliaia [0] 7 4" xfId="3612" xr:uid="{00000000-0005-0000-0000-0000F8070000}"/>
    <cellStyle name="Migliaia [0] 7 5" xfId="5744" xr:uid="{00000000-0005-0000-0000-0000F9070000}"/>
    <cellStyle name="Migliaia [0] 7 6" xfId="6689" xr:uid="{00000000-0005-0000-0000-0000FA070000}"/>
    <cellStyle name="Migliaia [0] 7 7" xfId="4767" xr:uid="{00000000-0005-0000-0000-0000FB070000}"/>
    <cellStyle name="Migliaia [0] 8" xfId="141" xr:uid="{00000000-0005-0000-0000-0000FC070000}"/>
    <cellStyle name="Migliaia [0] 8 2" xfId="2072" xr:uid="{00000000-0005-0000-0000-0000FD070000}"/>
    <cellStyle name="Migliaia [0] 8 2 2" xfId="3613" xr:uid="{00000000-0005-0000-0000-0000FE070000}"/>
    <cellStyle name="Migliaia [0] 8 2 2 2" xfId="5750" xr:uid="{00000000-0005-0000-0000-0000FF070000}"/>
    <cellStyle name="Migliaia [0] 8 2 2 3" xfId="6695" xr:uid="{00000000-0005-0000-0000-000000080000}"/>
    <cellStyle name="Migliaia [0] 8 2 2 4" xfId="4773" xr:uid="{00000000-0005-0000-0000-000001080000}"/>
    <cellStyle name="Migliaia [0] 8 2 3" xfId="3614" xr:uid="{00000000-0005-0000-0000-000002080000}"/>
    <cellStyle name="Migliaia [0] 8 2 4" xfId="5749" xr:uid="{00000000-0005-0000-0000-000003080000}"/>
    <cellStyle name="Migliaia [0] 8 2 5" xfId="6694" xr:uid="{00000000-0005-0000-0000-000004080000}"/>
    <cellStyle name="Migliaia [0] 8 2 6" xfId="4772" xr:uid="{00000000-0005-0000-0000-000005080000}"/>
    <cellStyle name="Migliaia [0] 8 3" xfId="3615" xr:uid="{00000000-0005-0000-0000-000006080000}"/>
    <cellStyle name="Migliaia [0] 8 3 2" xfId="5751" xr:uid="{00000000-0005-0000-0000-000007080000}"/>
    <cellStyle name="Migliaia [0] 8 3 3" xfId="6696" xr:uid="{00000000-0005-0000-0000-000008080000}"/>
    <cellStyle name="Migliaia [0] 8 3 4" xfId="4774" xr:uid="{00000000-0005-0000-0000-000009080000}"/>
    <cellStyle name="Migliaia [0] 8 4" xfId="3616" xr:uid="{00000000-0005-0000-0000-00000A080000}"/>
    <cellStyle name="Migliaia [0] 8 5" xfId="5748" xr:uid="{00000000-0005-0000-0000-00000B080000}"/>
    <cellStyle name="Migliaia [0] 8 6" xfId="6693" xr:uid="{00000000-0005-0000-0000-00000C080000}"/>
    <cellStyle name="Migliaia [0] 8 7" xfId="4771" xr:uid="{00000000-0005-0000-0000-00000D080000}"/>
    <cellStyle name="Migliaia [0] 9" xfId="142" xr:uid="{00000000-0005-0000-0000-00000E080000}"/>
    <cellStyle name="Migliaia [0] 9 2" xfId="2073" xr:uid="{00000000-0005-0000-0000-00000F080000}"/>
    <cellStyle name="Migliaia [0] 9 2 2" xfId="3617" xr:uid="{00000000-0005-0000-0000-000010080000}"/>
    <cellStyle name="Migliaia [0] 9 2 2 2" xfId="5754" xr:uid="{00000000-0005-0000-0000-000011080000}"/>
    <cellStyle name="Migliaia [0] 9 2 2 3" xfId="6699" xr:uid="{00000000-0005-0000-0000-000012080000}"/>
    <cellStyle name="Migliaia [0] 9 2 2 4" xfId="4777" xr:uid="{00000000-0005-0000-0000-000013080000}"/>
    <cellStyle name="Migliaia [0] 9 2 3" xfId="3618" xr:uid="{00000000-0005-0000-0000-000014080000}"/>
    <cellStyle name="Migliaia [0] 9 2 4" xfId="5753" xr:uid="{00000000-0005-0000-0000-000015080000}"/>
    <cellStyle name="Migliaia [0] 9 2 5" xfId="6698" xr:uid="{00000000-0005-0000-0000-000016080000}"/>
    <cellStyle name="Migliaia [0] 9 2 6" xfId="4776" xr:uid="{00000000-0005-0000-0000-000017080000}"/>
    <cellStyle name="Migliaia [0] 9 3" xfId="3619" xr:uid="{00000000-0005-0000-0000-000018080000}"/>
    <cellStyle name="Migliaia [0] 9 3 2" xfId="5755" xr:uid="{00000000-0005-0000-0000-000019080000}"/>
    <cellStyle name="Migliaia [0] 9 3 3" xfId="6700" xr:uid="{00000000-0005-0000-0000-00001A080000}"/>
    <cellStyle name="Migliaia [0] 9 3 4" xfId="4778" xr:uid="{00000000-0005-0000-0000-00001B080000}"/>
    <cellStyle name="Migliaia [0] 9 4" xfId="3620" xr:uid="{00000000-0005-0000-0000-00001C080000}"/>
    <cellStyle name="Migliaia [0] 9 5" xfId="5752" xr:uid="{00000000-0005-0000-0000-00001D080000}"/>
    <cellStyle name="Migliaia [0] 9 6" xfId="6697" xr:uid="{00000000-0005-0000-0000-00001E080000}"/>
    <cellStyle name="Migliaia [0] 9 7" xfId="4775" xr:uid="{00000000-0005-0000-0000-00001F080000}"/>
    <cellStyle name="Migliaia 10" xfId="143" xr:uid="{00000000-0005-0000-0000-000020080000}"/>
    <cellStyle name="Migliaia 10 2" xfId="489" xr:uid="{00000000-0005-0000-0000-000021080000}"/>
    <cellStyle name="Migliaia 10 2 2" xfId="2318" xr:uid="{00000000-0005-0000-0000-000022080000}"/>
    <cellStyle name="Migliaia 10 2 2 2" xfId="3621" xr:uid="{00000000-0005-0000-0000-000023080000}"/>
    <cellStyle name="Migliaia 10 2 2 3" xfId="5758" xr:uid="{00000000-0005-0000-0000-000024080000}"/>
    <cellStyle name="Migliaia 10 2 2 4" xfId="6703" xr:uid="{00000000-0005-0000-0000-000025080000}"/>
    <cellStyle name="Migliaia 10 2 2 5" xfId="4781" xr:uid="{00000000-0005-0000-0000-000026080000}"/>
    <cellStyle name="Migliaia 10 2 3" xfId="3622" xr:uid="{00000000-0005-0000-0000-000027080000}"/>
    <cellStyle name="Migliaia 10 2 4" xfId="5757" xr:uid="{00000000-0005-0000-0000-000028080000}"/>
    <cellStyle name="Migliaia 10 2 5" xfId="6702" xr:uid="{00000000-0005-0000-0000-000029080000}"/>
    <cellStyle name="Migliaia 10 2 6" xfId="4780" xr:uid="{00000000-0005-0000-0000-00002A080000}"/>
    <cellStyle name="Migliaia 10 3" xfId="966" xr:uid="{00000000-0005-0000-0000-00002B080000}"/>
    <cellStyle name="Migliaia 10 3 2" xfId="967" xr:uid="{00000000-0005-0000-0000-00002C080000}"/>
    <cellStyle name="Migliaia 10 3 2 2" xfId="3623" xr:uid="{00000000-0005-0000-0000-00002D080000}"/>
    <cellStyle name="Migliaia 10 3 2 2 2" xfId="5761" xr:uid="{00000000-0005-0000-0000-00002E080000}"/>
    <cellStyle name="Migliaia 10 3 2 2 3" xfId="6706" xr:uid="{00000000-0005-0000-0000-00002F080000}"/>
    <cellStyle name="Migliaia 10 3 2 2 4" xfId="4784" xr:uid="{00000000-0005-0000-0000-000030080000}"/>
    <cellStyle name="Migliaia 10 3 2 3" xfId="3624" xr:uid="{00000000-0005-0000-0000-000031080000}"/>
    <cellStyle name="Migliaia 10 3 2 4" xfId="5760" xr:uid="{00000000-0005-0000-0000-000032080000}"/>
    <cellStyle name="Migliaia 10 3 2 5" xfId="6705" xr:uid="{00000000-0005-0000-0000-000033080000}"/>
    <cellStyle name="Migliaia 10 3 2 6" xfId="4783" xr:uid="{00000000-0005-0000-0000-000034080000}"/>
    <cellStyle name="Migliaia 10 3 3" xfId="968" xr:uid="{00000000-0005-0000-0000-000035080000}"/>
    <cellStyle name="Migliaia 10 3 3 2" xfId="2320" xr:uid="{00000000-0005-0000-0000-000036080000}"/>
    <cellStyle name="Migliaia 10 3 4" xfId="2319" xr:uid="{00000000-0005-0000-0000-000037080000}"/>
    <cellStyle name="Migliaia 10 3 5" xfId="3625" xr:uid="{00000000-0005-0000-0000-000038080000}"/>
    <cellStyle name="Migliaia 10 3 6" xfId="5759" xr:uid="{00000000-0005-0000-0000-000039080000}"/>
    <cellStyle name="Migliaia 10 3 7" xfId="6704" xr:uid="{00000000-0005-0000-0000-00003A080000}"/>
    <cellStyle name="Migliaia 10 3 8" xfId="4782" xr:uid="{00000000-0005-0000-0000-00003B080000}"/>
    <cellStyle name="Migliaia 10 4" xfId="969" xr:uid="{00000000-0005-0000-0000-00003C080000}"/>
    <cellStyle name="Migliaia 10 4 2" xfId="970" xr:uid="{00000000-0005-0000-0000-00003D080000}"/>
    <cellStyle name="Migliaia 10 4 2 2" xfId="2322" xr:uid="{00000000-0005-0000-0000-00003E080000}"/>
    <cellStyle name="Migliaia 10 4 2 3" xfId="3626" xr:uid="{00000000-0005-0000-0000-00003F080000}"/>
    <cellStyle name="Migliaia 10 4 2 4" xfId="5763" xr:uid="{00000000-0005-0000-0000-000040080000}"/>
    <cellStyle name="Migliaia 10 4 2 5" xfId="6708" xr:uid="{00000000-0005-0000-0000-000041080000}"/>
    <cellStyle name="Migliaia 10 4 2 6" xfId="4786" xr:uid="{00000000-0005-0000-0000-000042080000}"/>
    <cellStyle name="Migliaia 10 4 3" xfId="2321" xr:uid="{00000000-0005-0000-0000-000043080000}"/>
    <cellStyle name="Migliaia 10 4 4" xfId="3627" xr:uid="{00000000-0005-0000-0000-000044080000}"/>
    <cellStyle name="Migliaia 10 4 5" xfId="5762" xr:uid="{00000000-0005-0000-0000-000045080000}"/>
    <cellStyle name="Migliaia 10 4 6" xfId="6707" xr:uid="{00000000-0005-0000-0000-000046080000}"/>
    <cellStyle name="Migliaia 10 4 7" xfId="4785" xr:uid="{00000000-0005-0000-0000-000047080000}"/>
    <cellStyle name="Migliaia 10 5" xfId="971" xr:uid="{00000000-0005-0000-0000-000048080000}"/>
    <cellStyle name="Migliaia 10 5 2" xfId="3628" xr:uid="{00000000-0005-0000-0000-000049080000}"/>
    <cellStyle name="Migliaia 10 5 3" xfId="5764" xr:uid="{00000000-0005-0000-0000-00004A080000}"/>
    <cellStyle name="Migliaia 10 5 4" xfId="6709" xr:uid="{00000000-0005-0000-0000-00004B080000}"/>
    <cellStyle name="Migliaia 10 5 5" xfId="4787" xr:uid="{00000000-0005-0000-0000-00004C080000}"/>
    <cellStyle name="Migliaia 10 6" xfId="3629" xr:uid="{00000000-0005-0000-0000-00004D080000}"/>
    <cellStyle name="Migliaia 10 7" xfId="5756" xr:uid="{00000000-0005-0000-0000-00004E080000}"/>
    <cellStyle name="Migliaia 10 8" xfId="6701" xr:uid="{00000000-0005-0000-0000-00004F080000}"/>
    <cellStyle name="Migliaia 10 9" xfId="4779" xr:uid="{00000000-0005-0000-0000-000050080000}"/>
    <cellStyle name="Migliaia 11" xfId="144" xr:uid="{00000000-0005-0000-0000-000051080000}"/>
    <cellStyle name="Migliaia 11 2" xfId="490" xr:uid="{00000000-0005-0000-0000-000052080000}"/>
    <cellStyle name="Migliaia 11 2 2" xfId="2323" xr:uid="{00000000-0005-0000-0000-000053080000}"/>
    <cellStyle name="Migliaia 11 2 2 2" xfId="3630" xr:uid="{00000000-0005-0000-0000-000054080000}"/>
    <cellStyle name="Migliaia 11 2 2 3" xfId="5767" xr:uid="{00000000-0005-0000-0000-000055080000}"/>
    <cellStyle name="Migliaia 11 2 2 4" xfId="6712" xr:uid="{00000000-0005-0000-0000-000056080000}"/>
    <cellStyle name="Migliaia 11 2 2 5" xfId="4790" xr:uid="{00000000-0005-0000-0000-000057080000}"/>
    <cellStyle name="Migliaia 11 2 3" xfId="3631" xr:uid="{00000000-0005-0000-0000-000058080000}"/>
    <cellStyle name="Migliaia 11 2 4" xfId="5766" xr:uid="{00000000-0005-0000-0000-000059080000}"/>
    <cellStyle name="Migliaia 11 2 5" xfId="6711" xr:uid="{00000000-0005-0000-0000-00005A080000}"/>
    <cellStyle name="Migliaia 11 2 6" xfId="4789" xr:uid="{00000000-0005-0000-0000-00005B080000}"/>
    <cellStyle name="Migliaia 11 3" xfId="972" xr:uid="{00000000-0005-0000-0000-00005C080000}"/>
    <cellStyle name="Migliaia 11 3 2" xfId="973" xr:uid="{00000000-0005-0000-0000-00005D080000}"/>
    <cellStyle name="Migliaia 11 3 2 2" xfId="3632" xr:uid="{00000000-0005-0000-0000-00005E080000}"/>
    <cellStyle name="Migliaia 11 3 2 2 2" xfId="5770" xr:uid="{00000000-0005-0000-0000-00005F080000}"/>
    <cellStyle name="Migliaia 11 3 2 2 3" xfId="6715" xr:uid="{00000000-0005-0000-0000-000060080000}"/>
    <cellStyle name="Migliaia 11 3 2 2 4" xfId="4793" xr:uid="{00000000-0005-0000-0000-000061080000}"/>
    <cellStyle name="Migliaia 11 3 2 3" xfId="3633" xr:uid="{00000000-0005-0000-0000-000062080000}"/>
    <cellStyle name="Migliaia 11 3 2 4" xfId="5769" xr:uid="{00000000-0005-0000-0000-000063080000}"/>
    <cellStyle name="Migliaia 11 3 2 5" xfId="6714" xr:uid="{00000000-0005-0000-0000-000064080000}"/>
    <cellStyle name="Migliaia 11 3 2 6" xfId="4792" xr:uid="{00000000-0005-0000-0000-000065080000}"/>
    <cellStyle name="Migliaia 11 3 3" xfId="974" xr:uid="{00000000-0005-0000-0000-000066080000}"/>
    <cellStyle name="Migliaia 11 3 3 2" xfId="2325" xr:uid="{00000000-0005-0000-0000-000067080000}"/>
    <cellStyle name="Migliaia 11 3 4" xfId="2324" xr:uid="{00000000-0005-0000-0000-000068080000}"/>
    <cellStyle name="Migliaia 11 3 5" xfId="3634" xr:uid="{00000000-0005-0000-0000-000069080000}"/>
    <cellStyle name="Migliaia 11 3 6" xfId="5768" xr:uid="{00000000-0005-0000-0000-00006A080000}"/>
    <cellStyle name="Migliaia 11 3 7" xfId="6713" xr:uid="{00000000-0005-0000-0000-00006B080000}"/>
    <cellStyle name="Migliaia 11 3 8" xfId="4791" xr:uid="{00000000-0005-0000-0000-00006C080000}"/>
    <cellStyle name="Migliaia 11 4" xfId="975" xr:uid="{00000000-0005-0000-0000-00006D080000}"/>
    <cellStyle name="Migliaia 11 4 2" xfId="976" xr:uid="{00000000-0005-0000-0000-00006E080000}"/>
    <cellStyle name="Migliaia 11 4 2 2" xfId="2327" xr:uid="{00000000-0005-0000-0000-00006F080000}"/>
    <cellStyle name="Migliaia 11 4 2 3" xfId="3635" xr:uid="{00000000-0005-0000-0000-000070080000}"/>
    <cellStyle name="Migliaia 11 4 2 4" xfId="5772" xr:uid="{00000000-0005-0000-0000-000071080000}"/>
    <cellStyle name="Migliaia 11 4 2 5" xfId="6717" xr:uid="{00000000-0005-0000-0000-000072080000}"/>
    <cellStyle name="Migliaia 11 4 2 6" xfId="4795" xr:uid="{00000000-0005-0000-0000-000073080000}"/>
    <cellStyle name="Migliaia 11 4 3" xfId="2326" xr:uid="{00000000-0005-0000-0000-000074080000}"/>
    <cellStyle name="Migliaia 11 4 4" xfId="3636" xr:uid="{00000000-0005-0000-0000-000075080000}"/>
    <cellStyle name="Migliaia 11 4 5" xfId="5771" xr:uid="{00000000-0005-0000-0000-000076080000}"/>
    <cellStyle name="Migliaia 11 4 6" xfId="6716" xr:uid="{00000000-0005-0000-0000-000077080000}"/>
    <cellStyle name="Migliaia 11 4 7" xfId="4794" xr:uid="{00000000-0005-0000-0000-000078080000}"/>
    <cellStyle name="Migliaia 11 5" xfId="977" xr:uid="{00000000-0005-0000-0000-000079080000}"/>
    <cellStyle name="Migliaia 11 5 2" xfId="3637" xr:uid="{00000000-0005-0000-0000-00007A080000}"/>
    <cellStyle name="Migliaia 11 5 3" xfId="5773" xr:uid="{00000000-0005-0000-0000-00007B080000}"/>
    <cellStyle name="Migliaia 11 5 4" xfId="6718" xr:uid="{00000000-0005-0000-0000-00007C080000}"/>
    <cellStyle name="Migliaia 11 5 5" xfId="4796" xr:uid="{00000000-0005-0000-0000-00007D080000}"/>
    <cellStyle name="Migliaia 11 6" xfId="3638" xr:uid="{00000000-0005-0000-0000-00007E080000}"/>
    <cellStyle name="Migliaia 11 7" xfId="5765" xr:uid="{00000000-0005-0000-0000-00007F080000}"/>
    <cellStyle name="Migliaia 11 8" xfId="6710" xr:uid="{00000000-0005-0000-0000-000080080000}"/>
    <cellStyle name="Migliaia 11 9" xfId="4788" xr:uid="{00000000-0005-0000-0000-000081080000}"/>
    <cellStyle name="Migliaia 12" xfId="145" xr:uid="{00000000-0005-0000-0000-000082080000}"/>
    <cellStyle name="Migliaia 12 2" xfId="491" xr:uid="{00000000-0005-0000-0000-000083080000}"/>
    <cellStyle name="Migliaia 12 2 2" xfId="2328" xr:uid="{00000000-0005-0000-0000-000084080000}"/>
    <cellStyle name="Migliaia 12 2 2 2" xfId="3639" xr:uid="{00000000-0005-0000-0000-000085080000}"/>
    <cellStyle name="Migliaia 12 2 2 3" xfId="5776" xr:uid="{00000000-0005-0000-0000-000086080000}"/>
    <cellStyle name="Migliaia 12 2 2 4" xfId="6721" xr:uid="{00000000-0005-0000-0000-000087080000}"/>
    <cellStyle name="Migliaia 12 2 2 5" xfId="4799" xr:uid="{00000000-0005-0000-0000-000088080000}"/>
    <cellStyle name="Migliaia 12 2 3" xfId="3640" xr:uid="{00000000-0005-0000-0000-000089080000}"/>
    <cellStyle name="Migliaia 12 2 4" xfId="5775" xr:uid="{00000000-0005-0000-0000-00008A080000}"/>
    <cellStyle name="Migliaia 12 2 5" xfId="6720" xr:uid="{00000000-0005-0000-0000-00008B080000}"/>
    <cellStyle name="Migliaia 12 2 6" xfId="4798" xr:uid="{00000000-0005-0000-0000-00008C080000}"/>
    <cellStyle name="Migliaia 12 3" xfId="978" xr:uid="{00000000-0005-0000-0000-00008D080000}"/>
    <cellStyle name="Migliaia 12 3 2" xfId="979" xr:uid="{00000000-0005-0000-0000-00008E080000}"/>
    <cellStyle name="Migliaia 12 3 2 2" xfId="3641" xr:uid="{00000000-0005-0000-0000-00008F080000}"/>
    <cellStyle name="Migliaia 12 3 2 2 2" xfId="5779" xr:uid="{00000000-0005-0000-0000-000090080000}"/>
    <cellStyle name="Migliaia 12 3 2 2 3" xfId="6724" xr:uid="{00000000-0005-0000-0000-000091080000}"/>
    <cellStyle name="Migliaia 12 3 2 2 4" xfId="4802" xr:uid="{00000000-0005-0000-0000-000092080000}"/>
    <cellStyle name="Migliaia 12 3 2 3" xfId="3642" xr:uid="{00000000-0005-0000-0000-000093080000}"/>
    <cellStyle name="Migliaia 12 3 2 4" xfId="5778" xr:uid="{00000000-0005-0000-0000-000094080000}"/>
    <cellStyle name="Migliaia 12 3 2 5" xfId="6723" xr:uid="{00000000-0005-0000-0000-000095080000}"/>
    <cellStyle name="Migliaia 12 3 2 6" xfId="4801" xr:uid="{00000000-0005-0000-0000-000096080000}"/>
    <cellStyle name="Migliaia 12 3 3" xfId="980" xr:uid="{00000000-0005-0000-0000-000097080000}"/>
    <cellStyle name="Migliaia 12 3 3 2" xfId="2330" xr:uid="{00000000-0005-0000-0000-000098080000}"/>
    <cellStyle name="Migliaia 12 3 4" xfId="2329" xr:uid="{00000000-0005-0000-0000-000099080000}"/>
    <cellStyle name="Migliaia 12 3 5" xfId="3643" xr:uid="{00000000-0005-0000-0000-00009A080000}"/>
    <cellStyle name="Migliaia 12 3 6" xfId="5777" xr:uid="{00000000-0005-0000-0000-00009B080000}"/>
    <cellStyle name="Migliaia 12 3 7" xfId="6722" xr:uid="{00000000-0005-0000-0000-00009C080000}"/>
    <cellStyle name="Migliaia 12 3 8" xfId="4800" xr:uid="{00000000-0005-0000-0000-00009D080000}"/>
    <cellStyle name="Migliaia 12 4" xfId="981" xr:uid="{00000000-0005-0000-0000-00009E080000}"/>
    <cellStyle name="Migliaia 12 4 2" xfId="982" xr:uid="{00000000-0005-0000-0000-00009F080000}"/>
    <cellStyle name="Migliaia 12 4 2 2" xfId="2332" xr:uid="{00000000-0005-0000-0000-0000A0080000}"/>
    <cellStyle name="Migliaia 12 4 2 3" xfId="3644" xr:uid="{00000000-0005-0000-0000-0000A1080000}"/>
    <cellStyle name="Migliaia 12 4 2 4" xfId="5781" xr:uid="{00000000-0005-0000-0000-0000A2080000}"/>
    <cellStyle name="Migliaia 12 4 2 5" xfId="6726" xr:uid="{00000000-0005-0000-0000-0000A3080000}"/>
    <cellStyle name="Migliaia 12 4 2 6" xfId="4804" xr:uid="{00000000-0005-0000-0000-0000A4080000}"/>
    <cellStyle name="Migliaia 12 4 3" xfId="2331" xr:uid="{00000000-0005-0000-0000-0000A5080000}"/>
    <cellStyle name="Migliaia 12 4 4" xfId="3645" xr:uid="{00000000-0005-0000-0000-0000A6080000}"/>
    <cellStyle name="Migliaia 12 4 5" xfId="5780" xr:uid="{00000000-0005-0000-0000-0000A7080000}"/>
    <cellStyle name="Migliaia 12 4 6" xfId="6725" xr:uid="{00000000-0005-0000-0000-0000A8080000}"/>
    <cellStyle name="Migliaia 12 4 7" xfId="4803" xr:uid="{00000000-0005-0000-0000-0000A9080000}"/>
    <cellStyle name="Migliaia 12 5" xfId="983" xr:uid="{00000000-0005-0000-0000-0000AA080000}"/>
    <cellStyle name="Migliaia 12 5 2" xfId="3646" xr:uid="{00000000-0005-0000-0000-0000AB080000}"/>
    <cellStyle name="Migliaia 12 5 3" xfId="5782" xr:uid="{00000000-0005-0000-0000-0000AC080000}"/>
    <cellStyle name="Migliaia 12 5 4" xfId="6727" xr:uid="{00000000-0005-0000-0000-0000AD080000}"/>
    <cellStyle name="Migliaia 12 5 5" xfId="4805" xr:uid="{00000000-0005-0000-0000-0000AE080000}"/>
    <cellStyle name="Migliaia 12 6" xfId="3647" xr:uid="{00000000-0005-0000-0000-0000AF080000}"/>
    <cellStyle name="Migliaia 12 7" xfId="5774" xr:uid="{00000000-0005-0000-0000-0000B0080000}"/>
    <cellStyle name="Migliaia 12 8" xfId="6719" xr:uid="{00000000-0005-0000-0000-0000B1080000}"/>
    <cellStyle name="Migliaia 12 9" xfId="4797" xr:uid="{00000000-0005-0000-0000-0000B2080000}"/>
    <cellStyle name="Migliaia 13" xfId="146" xr:uid="{00000000-0005-0000-0000-0000B3080000}"/>
    <cellStyle name="Migliaia 13 2" xfId="492" xr:uid="{00000000-0005-0000-0000-0000B4080000}"/>
    <cellStyle name="Migliaia 13 2 2" xfId="2333" xr:uid="{00000000-0005-0000-0000-0000B5080000}"/>
    <cellStyle name="Migliaia 13 2 2 2" xfId="3648" xr:uid="{00000000-0005-0000-0000-0000B6080000}"/>
    <cellStyle name="Migliaia 13 2 2 3" xfId="5785" xr:uid="{00000000-0005-0000-0000-0000B7080000}"/>
    <cellStyle name="Migliaia 13 2 2 4" xfId="6730" xr:uid="{00000000-0005-0000-0000-0000B8080000}"/>
    <cellStyle name="Migliaia 13 2 2 5" xfId="4808" xr:uid="{00000000-0005-0000-0000-0000B9080000}"/>
    <cellStyle name="Migliaia 13 2 3" xfId="3649" xr:uid="{00000000-0005-0000-0000-0000BA080000}"/>
    <cellStyle name="Migliaia 13 2 4" xfId="5784" xr:uid="{00000000-0005-0000-0000-0000BB080000}"/>
    <cellStyle name="Migliaia 13 2 5" xfId="6729" xr:uid="{00000000-0005-0000-0000-0000BC080000}"/>
    <cellStyle name="Migliaia 13 2 6" xfId="4807" xr:uid="{00000000-0005-0000-0000-0000BD080000}"/>
    <cellStyle name="Migliaia 13 3" xfId="984" xr:uid="{00000000-0005-0000-0000-0000BE080000}"/>
    <cellStyle name="Migliaia 13 3 2" xfId="985" xr:uid="{00000000-0005-0000-0000-0000BF080000}"/>
    <cellStyle name="Migliaia 13 3 2 2" xfId="3650" xr:uid="{00000000-0005-0000-0000-0000C0080000}"/>
    <cellStyle name="Migliaia 13 3 2 2 2" xfId="5788" xr:uid="{00000000-0005-0000-0000-0000C1080000}"/>
    <cellStyle name="Migliaia 13 3 2 2 3" xfId="6733" xr:uid="{00000000-0005-0000-0000-0000C2080000}"/>
    <cellStyle name="Migliaia 13 3 2 2 4" xfId="4811" xr:uid="{00000000-0005-0000-0000-0000C3080000}"/>
    <cellStyle name="Migliaia 13 3 2 3" xfId="3651" xr:uid="{00000000-0005-0000-0000-0000C4080000}"/>
    <cellStyle name="Migliaia 13 3 2 4" xfId="5787" xr:uid="{00000000-0005-0000-0000-0000C5080000}"/>
    <cellStyle name="Migliaia 13 3 2 5" xfId="6732" xr:uid="{00000000-0005-0000-0000-0000C6080000}"/>
    <cellStyle name="Migliaia 13 3 2 6" xfId="4810" xr:uid="{00000000-0005-0000-0000-0000C7080000}"/>
    <cellStyle name="Migliaia 13 3 3" xfId="986" xr:uid="{00000000-0005-0000-0000-0000C8080000}"/>
    <cellStyle name="Migliaia 13 3 3 2" xfId="2335" xr:uid="{00000000-0005-0000-0000-0000C9080000}"/>
    <cellStyle name="Migliaia 13 3 4" xfId="2334" xr:uid="{00000000-0005-0000-0000-0000CA080000}"/>
    <cellStyle name="Migliaia 13 3 5" xfId="3652" xr:uid="{00000000-0005-0000-0000-0000CB080000}"/>
    <cellStyle name="Migliaia 13 3 6" xfId="5786" xr:uid="{00000000-0005-0000-0000-0000CC080000}"/>
    <cellStyle name="Migliaia 13 3 7" xfId="6731" xr:uid="{00000000-0005-0000-0000-0000CD080000}"/>
    <cellStyle name="Migliaia 13 3 8" xfId="4809" xr:uid="{00000000-0005-0000-0000-0000CE080000}"/>
    <cellStyle name="Migliaia 13 4" xfId="987" xr:uid="{00000000-0005-0000-0000-0000CF080000}"/>
    <cellStyle name="Migliaia 13 4 2" xfId="988" xr:uid="{00000000-0005-0000-0000-0000D0080000}"/>
    <cellStyle name="Migliaia 13 4 2 2" xfId="2337" xr:uid="{00000000-0005-0000-0000-0000D1080000}"/>
    <cellStyle name="Migliaia 13 4 2 3" xfId="3653" xr:uid="{00000000-0005-0000-0000-0000D2080000}"/>
    <cellStyle name="Migliaia 13 4 2 4" xfId="5790" xr:uid="{00000000-0005-0000-0000-0000D3080000}"/>
    <cellStyle name="Migliaia 13 4 2 5" xfId="6735" xr:uid="{00000000-0005-0000-0000-0000D4080000}"/>
    <cellStyle name="Migliaia 13 4 2 6" xfId="4813" xr:uid="{00000000-0005-0000-0000-0000D5080000}"/>
    <cellStyle name="Migliaia 13 4 3" xfId="2336" xr:uid="{00000000-0005-0000-0000-0000D6080000}"/>
    <cellStyle name="Migliaia 13 4 4" xfId="3654" xr:uid="{00000000-0005-0000-0000-0000D7080000}"/>
    <cellStyle name="Migliaia 13 4 5" xfId="5789" xr:uid="{00000000-0005-0000-0000-0000D8080000}"/>
    <cellStyle name="Migliaia 13 4 6" xfId="6734" xr:uid="{00000000-0005-0000-0000-0000D9080000}"/>
    <cellStyle name="Migliaia 13 4 7" xfId="4812" xr:uid="{00000000-0005-0000-0000-0000DA080000}"/>
    <cellStyle name="Migliaia 13 5" xfId="989" xr:uid="{00000000-0005-0000-0000-0000DB080000}"/>
    <cellStyle name="Migliaia 13 5 2" xfId="3655" xr:uid="{00000000-0005-0000-0000-0000DC080000}"/>
    <cellStyle name="Migliaia 13 5 3" xfId="5791" xr:uid="{00000000-0005-0000-0000-0000DD080000}"/>
    <cellStyle name="Migliaia 13 5 4" xfId="6736" xr:uid="{00000000-0005-0000-0000-0000DE080000}"/>
    <cellStyle name="Migliaia 13 5 5" xfId="4814" xr:uid="{00000000-0005-0000-0000-0000DF080000}"/>
    <cellStyle name="Migliaia 13 6" xfId="3656" xr:uid="{00000000-0005-0000-0000-0000E0080000}"/>
    <cellStyle name="Migliaia 13 7" xfId="5783" xr:uid="{00000000-0005-0000-0000-0000E1080000}"/>
    <cellStyle name="Migliaia 13 8" xfId="6728" xr:uid="{00000000-0005-0000-0000-0000E2080000}"/>
    <cellStyle name="Migliaia 13 9" xfId="4806" xr:uid="{00000000-0005-0000-0000-0000E3080000}"/>
    <cellStyle name="Migliaia 14" xfId="147" xr:uid="{00000000-0005-0000-0000-0000E4080000}"/>
    <cellStyle name="Migliaia 14 2" xfId="493" xr:uid="{00000000-0005-0000-0000-0000E5080000}"/>
    <cellStyle name="Migliaia 14 2 2" xfId="2338" xr:uid="{00000000-0005-0000-0000-0000E6080000}"/>
    <cellStyle name="Migliaia 14 2 2 2" xfId="3657" xr:uid="{00000000-0005-0000-0000-0000E7080000}"/>
    <cellStyle name="Migliaia 14 2 2 3" xfId="5794" xr:uid="{00000000-0005-0000-0000-0000E8080000}"/>
    <cellStyle name="Migliaia 14 2 2 4" xfId="6739" xr:uid="{00000000-0005-0000-0000-0000E9080000}"/>
    <cellStyle name="Migliaia 14 2 2 5" xfId="4817" xr:uid="{00000000-0005-0000-0000-0000EA080000}"/>
    <cellStyle name="Migliaia 14 2 3" xfId="3658" xr:uid="{00000000-0005-0000-0000-0000EB080000}"/>
    <cellStyle name="Migliaia 14 2 4" xfId="5793" xr:uid="{00000000-0005-0000-0000-0000EC080000}"/>
    <cellStyle name="Migliaia 14 2 5" xfId="6738" xr:uid="{00000000-0005-0000-0000-0000ED080000}"/>
    <cellStyle name="Migliaia 14 2 6" xfId="4816" xr:uid="{00000000-0005-0000-0000-0000EE080000}"/>
    <cellStyle name="Migliaia 14 3" xfId="990" xr:uid="{00000000-0005-0000-0000-0000EF080000}"/>
    <cellStyle name="Migliaia 14 3 2" xfId="991" xr:uid="{00000000-0005-0000-0000-0000F0080000}"/>
    <cellStyle name="Migliaia 14 3 2 2" xfId="3659" xr:uid="{00000000-0005-0000-0000-0000F1080000}"/>
    <cellStyle name="Migliaia 14 3 2 2 2" xfId="5797" xr:uid="{00000000-0005-0000-0000-0000F2080000}"/>
    <cellStyle name="Migliaia 14 3 2 2 3" xfId="6742" xr:uid="{00000000-0005-0000-0000-0000F3080000}"/>
    <cellStyle name="Migliaia 14 3 2 2 4" xfId="4820" xr:uid="{00000000-0005-0000-0000-0000F4080000}"/>
    <cellStyle name="Migliaia 14 3 2 3" xfId="3660" xr:uid="{00000000-0005-0000-0000-0000F5080000}"/>
    <cellStyle name="Migliaia 14 3 2 4" xfId="5796" xr:uid="{00000000-0005-0000-0000-0000F6080000}"/>
    <cellStyle name="Migliaia 14 3 2 5" xfId="6741" xr:uid="{00000000-0005-0000-0000-0000F7080000}"/>
    <cellStyle name="Migliaia 14 3 2 6" xfId="4819" xr:uid="{00000000-0005-0000-0000-0000F8080000}"/>
    <cellStyle name="Migliaia 14 3 3" xfId="992" xr:uid="{00000000-0005-0000-0000-0000F9080000}"/>
    <cellStyle name="Migliaia 14 3 3 2" xfId="2340" xr:uid="{00000000-0005-0000-0000-0000FA080000}"/>
    <cellStyle name="Migliaia 14 3 4" xfId="2339" xr:uid="{00000000-0005-0000-0000-0000FB080000}"/>
    <cellStyle name="Migliaia 14 3 5" xfId="3661" xr:uid="{00000000-0005-0000-0000-0000FC080000}"/>
    <cellStyle name="Migliaia 14 3 6" xfId="5795" xr:uid="{00000000-0005-0000-0000-0000FD080000}"/>
    <cellStyle name="Migliaia 14 3 7" xfId="6740" xr:uid="{00000000-0005-0000-0000-0000FE080000}"/>
    <cellStyle name="Migliaia 14 3 8" xfId="4818" xr:uid="{00000000-0005-0000-0000-0000FF080000}"/>
    <cellStyle name="Migliaia 14 4" xfId="993" xr:uid="{00000000-0005-0000-0000-000000090000}"/>
    <cellStyle name="Migliaia 14 4 2" xfId="994" xr:uid="{00000000-0005-0000-0000-000001090000}"/>
    <cellStyle name="Migliaia 14 4 2 2" xfId="2342" xr:uid="{00000000-0005-0000-0000-000002090000}"/>
    <cellStyle name="Migliaia 14 4 2 3" xfId="3662" xr:uid="{00000000-0005-0000-0000-000003090000}"/>
    <cellStyle name="Migliaia 14 4 2 4" xfId="5799" xr:uid="{00000000-0005-0000-0000-000004090000}"/>
    <cellStyle name="Migliaia 14 4 2 5" xfId="6744" xr:uid="{00000000-0005-0000-0000-000005090000}"/>
    <cellStyle name="Migliaia 14 4 2 6" xfId="4822" xr:uid="{00000000-0005-0000-0000-000006090000}"/>
    <cellStyle name="Migliaia 14 4 3" xfId="2341" xr:uid="{00000000-0005-0000-0000-000007090000}"/>
    <cellStyle name="Migliaia 14 4 4" xfId="3663" xr:uid="{00000000-0005-0000-0000-000008090000}"/>
    <cellStyle name="Migliaia 14 4 5" xfId="5798" xr:uid="{00000000-0005-0000-0000-000009090000}"/>
    <cellStyle name="Migliaia 14 4 6" xfId="6743" xr:uid="{00000000-0005-0000-0000-00000A090000}"/>
    <cellStyle name="Migliaia 14 4 7" xfId="4821" xr:uid="{00000000-0005-0000-0000-00000B090000}"/>
    <cellStyle name="Migliaia 14 5" xfId="995" xr:uid="{00000000-0005-0000-0000-00000C090000}"/>
    <cellStyle name="Migliaia 14 5 2" xfId="3664" xr:uid="{00000000-0005-0000-0000-00000D090000}"/>
    <cellStyle name="Migliaia 14 5 3" xfId="5800" xr:uid="{00000000-0005-0000-0000-00000E090000}"/>
    <cellStyle name="Migliaia 14 5 4" xfId="6745" xr:uid="{00000000-0005-0000-0000-00000F090000}"/>
    <cellStyle name="Migliaia 14 5 5" xfId="4823" xr:uid="{00000000-0005-0000-0000-000010090000}"/>
    <cellStyle name="Migliaia 14 6" xfId="3665" xr:uid="{00000000-0005-0000-0000-000011090000}"/>
    <cellStyle name="Migliaia 14 7" xfId="5792" xr:uid="{00000000-0005-0000-0000-000012090000}"/>
    <cellStyle name="Migliaia 14 8" xfId="6737" xr:uid="{00000000-0005-0000-0000-000013090000}"/>
    <cellStyle name="Migliaia 14 9" xfId="4815" xr:uid="{00000000-0005-0000-0000-000014090000}"/>
    <cellStyle name="Migliaia 15" xfId="148" xr:uid="{00000000-0005-0000-0000-000015090000}"/>
    <cellStyle name="Migliaia 15 2" xfId="494" xr:uid="{00000000-0005-0000-0000-000016090000}"/>
    <cellStyle name="Migliaia 15 2 2" xfId="2343" xr:uid="{00000000-0005-0000-0000-000017090000}"/>
    <cellStyle name="Migliaia 15 2 2 2" xfId="3666" xr:uid="{00000000-0005-0000-0000-000018090000}"/>
    <cellStyle name="Migliaia 15 2 2 3" xfId="5803" xr:uid="{00000000-0005-0000-0000-000019090000}"/>
    <cellStyle name="Migliaia 15 2 2 4" xfId="6748" xr:uid="{00000000-0005-0000-0000-00001A090000}"/>
    <cellStyle name="Migliaia 15 2 2 5" xfId="4826" xr:uid="{00000000-0005-0000-0000-00001B090000}"/>
    <cellStyle name="Migliaia 15 2 3" xfId="3667" xr:uid="{00000000-0005-0000-0000-00001C090000}"/>
    <cellStyle name="Migliaia 15 2 4" xfId="5802" xr:uid="{00000000-0005-0000-0000-00001D090000}"/>
    <cellStyle name="Migliaia 15 2 5" xfId="6747" xr:uid="{00000000-0005-0000-0000-00001E090000}"/>
    <cellStyle name="Migliaia 15 2 6" xfId="4825" xr:uid="{00000000-0005-0000-0000-00001F090000}"/>
    <cellStyle name="Migliaia 15 3" xfId="996" xr:uid="{00000000-0005-0000-0000-000020090000}"/>
    <cellStyle name="Migliaia 15 3 2" xfId="997" xr:uid="{00000000-0005-0000-0000-000021090000}"/>
    <cellStyle name="Migliaia 15 3 2 2" xfId="3668" xr:uid="{00000000-0005-0000-0000-000022090000}"/>
    <cellStyle name="Migliaia 15 3 2 2 2" xfId="5806" xr:uid="{00000000-0005-0000-0000-000023090000}"/>
    <cellStyle name="Migliaia 15 3 2 2 3" xfId="6751" xr:uid="{00000000-0005-0000-0000-000024090000}"/>
    <cellStyle name="Migliaia 15 3 2 2 4" xfId="4829" xr:uid="{00000000-0005-0000-0000-000025090000}"/>
    <cellStyle name="Migliaia 15 3 2 3" xfId="3669" xr:uid="{00000000-0005-0000-0000-000026090000}"/>
    <cellStyle name="Migliaia 15 3 2 4" xfId="5805" xr:uid="{00000000-0005-0000-0000-000027090000}"/>
    <cellStyle name="Migliaia 15 3 2 5" xfId="6750" xr:uid="{00000000-0005-0000-0000-000028090000}"/>
    <cellStyle name="Migliaia 15 3 2 6" xfId="4828" xr:uid="{00000000-0005-0000-0000-000029090000}"/>
    <cellStyle name="Migliaia 15 3 3" xfId="998" xr:uid="{00000000-0005-0000-0000-00002A090000}"/>
    <cellStyle name="Migliaia 15 3 3 2" xfId="2345" xr:uid="{00000000-0005-0000-0000-00002B090000}"/>
    <cellStyle name="Migliaia 15 3 4" xfId="2344" xr:uid="{00000000-0005-0000-0000-00002C090000}"/>
    <cellStyle name="Migliaia 15 3 5" xfId="3670" xr:uid="{00000000-0005-0000-0000-00002D090000}"/>
    <cellStyle name="Migliaia 15 3 6" xfId="5804" xr:uid="{00000000-0005-0000-0000-00002E090000}"/>
    <cellStyle name="Migliaia 15 3 7" xfId="6749" xr:uid="{00000000-0005-0000-0000-00002F090000}"/>
    <cellStyle name="Migliaia 15 3 8" xfId="4827" xr:uid="{00000000-0005-0000-0000-000030090000}"/>
    <cellStyle name="Migliaia 15 4" xfId="999" xr:uid="{00000000-0005-0000-0000-000031090000}"/>
    <cellStyle name="Migliaia 15 4 2" xfId="1000" xr:uid="{00000000-0005-0000-0000-000032090000}"/>
    <cellStyle name="Migliaia 15 4 2 2" xfId="2347" xr:uid="{00000000-0005-0000-0000-000033090000}"/>
    <cellStyle name="Migliaia 15 4 2 3" xfId="3671" xr:uid="{00000000-0005-0000-0000-000034090000}"/>
    <cellStyle name="Migliaia 15 4 2 4" xfId="5808" xr:uid="{00000000-0005-0000-0000-000035090000}"/>
    <cellStyle name="Migliaia 15 4 2 5" xfId="6753" xr:uid="{00000000-0005-0000-0000-000036090000}"/>
    <cellStyle name="Migliaia 15 4 2 6" xfId="4831" xr:uid="{00000000-0005-0000-0000-000037090000}"/>
    <cellStyle name="Migliaia 15 4 3" xfId="2346" xr:uid="{00000000-0005-0000-0000-000038090000}"/>
    <cellStyle name="Migliaia 15 4 4" xfId="3672" xr:uid="{00000000-0005-0000-0000-000039090000}"/>
    <cellStyle name="Migliaia 15 4 5" xfId="5807" xr:uid="{00000000-0005-0000-0000-00003A090000}"/>
    <cellStyle name="Migliaia 15 4 6" xfId="6752" xr:uid="{00000000-0005-0000-0000-00003B090000}"/>
    <cellStyle name="Migliaia 15 4 7" xfId="4830" xr:uid="{00000000-0005-0000-0000-00003C090000}"/>
    <cellStyle name="Migliaia 15 5" xfId="1001" xr:uid="{00000000-0005-0000-0000-00003D090000}"/>
    <cellStyle name="Migliaia 15 5 2" xfId="3673" xr:uid="{00000000-0005-0000-0000-00003E090000}"/>
    <cellStyle name="Migliaia 15 5 3" xfId="5809" xr:uid="{00000000-0005-0000-0000-00003F090000}"/>
    <cellStyle name="Migliaia 15 5 4" xfId="6754" xr:uid="{00000000-0005-0000-0000-000040090000}"/>
    <cellStyle name="Migliaia 15 5 5" xfId="4832" xr:uid="{00000000-0005-0000-0000-000041090000}"/>
    <cellStyle name="Migliaia 15 6" xfId="3674" xr:uid="{00000000-0005-0000-0000-000042090000}"/>
    <cellStyle name="Migliaia 15 7" xfId="5801" xr:uid="{00000000-0005-0000-0000-000043090000}"/>
    <cellStyle name="Migliaia 15 8" xfId="6746" xr:uid="{00000000-0005-0000-0000-000044090000}"/>
    <cellStyle name="Migliaia 15 9" xfId="4824" xr:uid="{00000000-0005-0000-0000-000045090000}"/>
    <cellStyle name="Migliaia 16" xfId="149" xr:uid="{00000000-0005-0000-0000-000046090000}"/>
    <cellStyle name="Migliaia 16 2" xfId="495" xr:uid="{00000000-0005-0000-0000-000047090000}"/>
    <cellStyle name="Migliaia 16 2 2" xfId="2348" xr:uid="{00000000-0005-0000-0000-000048090000}"/>
    <cellStyle name="Migliaia 16 2 2 2" xfId="3675" xr:uid="{00000000-0005-0000-0000-000049090000}"/>
    <cellStyle name="Migliaia 16 2 2 3" xfId="5812" xr:uid="{00000000-0005-0000-0000-00004A090000}"/>
    <cellStyle name="Migliaia 16 2 2 4" xfId="6757" xr:uid="{00000000-0005-0000-0000-00004B090000}"/>
    <cellStyle name="Migliaia 16 2 2 5" xfId="4835" xr:uid="{00000000-0005-0000-0000-00004C090000}"/>
    <cellStyle name="Migliaia 16 2 3" xfId="3676" xr:uid="{00000000-0005-0000-0000-00004D090000}"/>
    <cellStyle name="Migliaia 16 2 4" xfId="5811" xr:uid="{00000000-0005-0000-0000-00004E090000}"/>
    <cellStyle name="Migliaia 16 2 5" xfId="6756" xr:uid="{00000000-0005-0000-0000-00004F090000}"/>
    <cellStyle name="Migliaia 16 2 6" xfId="4834" xr:uid="{00000000-0005-0000-0000-000050090000}"/>
    <cellStyle name="Migliaia 16 3" xfId="1002" xr:uid="{00000000-0005-0000-0000-000051090000}"/>
    <cellStyle name="Migliaia 16 3 2" xfId="1003" xr:uid="{00000000-0005-0000-0000-000052090000}"/>
    <cellStyle name="Migliaia 16 3 2 2" xfId="3677" xr:uid="{00000000-0005-0000-0000-000053090000}"/>
    <cellStyle name="Migliaia 16 3 2 2 2" xfId="5815" xr:uid="{00000000-0005-0000-0000-000054090000}"/>
    <cellStyle name="Migliaia 16 3 2 2 3" xfId="6760" xr:uid="{00000000-0005-0000-0000-000055090000}"/>
    <cellStyle name="Migliaia 16 3 2 2 4" xfId="4838" xr:uid="{00000000-0005-0000-0000-000056090000}"/>
    <cellStyle name="Migliaia 16 3 2 3" xfId="3678" xr:uid="{00000000-0005-0000-0000-000057090000}"/>
    <cellStyle name="Migliaia 16 3 2 4" xfId="5814" xr:uid="{00000000-0005-0000-0000-000058090000}"/>
    <cellStyle name="Migliaia 16 3 2 5" xfId="6759" xr:uid="{00000000-0005-0000-0000-000059090000}"/>
    <cellStyle name="Migliaia 16 3 2 6" xfId="4837" xr:uid="{00000000-0005-0000-0000-00005A090000}"/>
    <cellStyle name="Migliaia 16 3 3" xfId="1004" xr:uid="{00000000-0005-0000-0000-00005B090000}"/>
    <cellStyle name="Migliaia 16 3 3 2" xfId="2350" xr:uid="{00000000-0005-0000-0000-00005C090000}"/>
    <cellStyle name="Migliaia 16 3 4" xfId="2349" xr:uid="{00000000-0005-0000-0000-00005D090000}"/>
    <cellStyle name="Migliaia 16 3 5" xfId="3679" xr:uid="{00000000-0005-0000-0000-00005E090000}"/>
    <cellStyle name="Migliaia 16 3 6" xfId="5813" xr:uid="{00000000-0005-0000-0000-00005F090000}"/>
    <cellStyle name="Migliaia 16 3 7" xfId="6758" xr:uid="{00000000-0005-0000-0000-000060090000}"/>
    <cellStyle name="Migliaia 16 3 8" xfId="4836" xr:uid="{00000000-0005-0000-0000-000061090000}"/>
    <cellStyle name="Migliaia 16 4" xfId="1005" xr:uid="{00000000-0005-0000-0000-000062090000}"/>
    <cellStyle name="Migliaia 16 4 2" xfId="1006" xr:uid="{00000000-0005-0000-0000-000063090000}"/>
    <cellStyle name="Migliaia 16 4 2 2" xfId="2352" xr:uid="{00000000-0005-0000-0000-000064090000}"/>
    <cellStyle name="Migliaia 16 4 2 3" xfId="3680" xr:uid="{00000000-0005-0000-0000-000065090000}"/>
    <cellStyle name="Migliaia 16 4 2 4" xfId="5817" xr:uid="{00000000-0005-0000-0000-000066090000}"/>
    <cellStyle name="Migliaia 16 4 2 5" xfId="6762" xr:uid="{00000000-0005-0000-0000-000067090000}"/>
    <cellStyle name="Migliaia 16 4 2 6" xfId="4840" xr:uid="{00000000-0005-0000-0000-000068090000}"/>
    <cellStyle name="Migliaia 16 4 3" xfId="2351" xr:uid="{00000000-0005-0000-0000-000069090000}"/>
    <cellStyle name="Migliaia 16 4 4" xfId="3681" xr:uid="{00000000-0005-0000-0000-00006A090000}"/>
    <cellStyle name="Migliaia 16 4 5" xfId="5816" xr:uid="{00000000-0005-0000-0000-00006B090000}"/>
    <cellStyle name="Migliaia 16 4 6" xfId="6761" xr:uid="{00000000-0005-0000-0000-00006C090000}"/>
    <cellStyle name="Migliaia 16 4 7" xfId="4839" xr:uid="{00000000-0005-0000-0000-00006D090000}"/>
    <cellStyle name="Migliaia 16 5" xfId="1007" xr:uid="{00000000-0005-0000-0000-00006E090000}"/>
    <cellStyle name="Migliaia 16 5 2" xfId="3682" xr:uid="{00000000-0005-0000-0000-00006F090000}"/>
    <cellStyle name="Migliaia 16 5 3" xfId="5818" xr:uid="{00000000-0005-0000-0000-000070090000}"/>
    <cellStyle name="Migliaia 16 5 4" xfId="6763" xr:uid="{00000000-0005-0000-0000-000071090000}"/>
    <cellStyle name="Migliaia 16 5 5" xfId="4841" xr:uid="{00000000-0005-0000-0000-000072090000}"/>
    <cellStyle name="Migliaia 16 6" xfId="3683" xr:uid="{00000000-0005-0000-0000-000073090000}"/>
    <cellStyle name="Migliaia 16 7" xfId="5810" xr:uid="{00000000-0005-0000-0000-000074090000}"/>
    <cellStyle name="Migliaia 16 8" xfId="6755" xr:uid="{00000000-0005-0000-0000-000075090000}"/>
    <cellStyle name="Migliaia 16 9" xfId="4833" xr:uid="{00000000-0005-0000-0000-000076090000}"/>
    <cellStyle name="Migliaia 17" xfId="150" xr:uid="{00000000-0005-0000-0000-000077090000}"/>
    <cellStyle name="Migliaia 17 2" xfId="496" xr:uid="{00000000-0005-0000-0000-000078090000}"/>
    <cellStyle name="Migliaia 17 2 2" xfId="2353" xr:uid="{00000000-0005-0000-0000-000079090000}"/>
    <cellStyle name="Migliaia 17 2 2 2" xfId="3684" xr:uid="{00000000-0005-0000-0000-00007A090000}"/>
    <cellStyle name="Migliaia 17 2 2 3" xfId="5821" xr:uid="{00000000-0005-0000-0000-00007B090000}"/>
    <cellStyle name="Migliaia 17 2 2 4" xfId="6766" xr:uid="{00000000-0005-0000-0000-00007C090000}"/>
    <cellStyle name="Migliaia 17 2 2 5" xfId="4844" xr:uid="{00000000-0005-0000-0000-00007D090000}"/>
    <cellStyle name="Migliaia 17 2 3" xfId="3685" xr:uid="{00000000-0005-0000-0000-00007E090000}"/>
    <cellStyle name="Migliaia 17 2 4" xfId="5820" xr:uid="{00000000-0005-0000-0000-00007F090000}"/>
    <cellStyle name="Migliaia 17 2 5" xfId="6765" xr:uid="{00000000-0005-0000-0000-000080090000}"/>
    <cellStyle name="Migliaia 17 2 6" xfId="4843" xr:uid="{00000000-0005-0000-0000-000081090000}"/>
    <cellStyle name="Migliaia 17 3" xfId="1008" xr:uid="{00000000-0005-0000-0000-000082090000}"/>
    <cellStyle name="Migliaia 17 3 2" xfId="1009" xr:uid="{00000000-0005-0000-0000-000083090000}"/>
    <cellStyle name="Migliaia 17 3 2 2" xfId="3686" xr:uid="{00000000-0005-0000-0000-000084090000}"/>
    <cellStyle name="Migliaia 17 3 2 2 2" xfId="5824" xr:uid="{00000000-0005-0000-0000-000085090000}"/>
    <cellStyle name="Migliaia 17 3 2 2 3" xfId="6769" xr:uid="{00000000-0005-0000-0000-000086090000}"/>
    <cellStyle name="Migliaia 17 3 2 2 4" xfId="4847" xr:uid="{00000000-0005-0000-0000-000087090000}"/>
    <cellStyle name="Migliaia 17 3 2 3" xfId="3687" xr:uid="{00000000-0005-0000-0000-000088090000}"/>
    <cellStyle name="Migliaia 17 3 2 4" xfId="5823" xr:uid="{00000000-0005-0000-0000-000089090000}"/>
    <cellStyle name="Migliaia 17 3 2 5" xfId="6768" xr:uid="{00000000-0005-0000-0000-00008A090000}"/>
    <cellStyle name="Migliaia 17 3 2 6" xfId="4846" xr:uid="{00000000-0005-0000-0000-00008B090000}"/>
    <cellStyle name="Migliaia 17 3 3" xfId="1010" xr:uid="{00000000-0005-0000-0000-00008C090000}"/>
    <cellStyle name="Migliaia 17 3 3 2" xfId="2355" xr:uid="{00000000-0005-0000-0000-00008D090000}"/>
    <cellStyle name="Migliaia 17 3 4" xfId="2354" xr:uid="{00000000-0005-0000-0000-00008E090000}"/>
    <cellStyle name="Migliaia 17 3 5" xfId="3688" xr:uid="{00000000-0005-0000-0000-00008F090000}"/>
    <cellStyle name="Migliaia 17 3 6" xfId="5822" xr:uid="{00000000-0005-0000-0000-000090090000}"/>
    <cellStyle name="Migliaia 17 3 7" xfId="6767" xr:uid="{00000000-0005-0000-0000-000091090000}"/>
    <cellStyle name="Migliaia 17 3 8" xfId="4845" xr:uid="{00000000-0005-0000-0000-000092090000}"/>
    <cellStyle name="Migliaia 17 4" xfId="1011" xr:uid="{00000000-0005-0000-0000-000093090000}"/>
    <cellStyle name="Migliaia 17 4 2" xfId="1012" xr:uid="{00000000-0005-0000-0000-000094090000}"/>
    <cellStyle name="Migliaia 17 4 2 2" xfId="2357" xr:uid="{00000000-0005-0000-0000-000095090000}"/>
    <cellStyle name="Migliaia 17 4 2 3" xfId="3689" xr:uid="{00000000-0005-0000-0000-000096090000}"/>
    <cellStyle name="Migliaia 17 4 2 4" xfId="5826" xr:uid="{00000000-0005-0000-0000-000097090000}"/>
    <cellStyle name="Migliaia 17 4 2 5" xfId="6771" xr:uid="{00000000-0005-0000-0000-000098090000}"/>
    <cellStyle name="Migliaia 17 4 2 6" xfId="4849" xr:uid="{00000000-0005-0000-0000-000099090000}"/>
    <cellStyle name="Migliaia 17 4 3" xfId="2356" xr:uid="{00000000-0005-0000-0000-00009A090000}"/>
    <cellStyle name="Migliaia 17 4 4" xfId="3690" xr:uid="{00000000-0005-0000-0000-00009B090000}"/>
    <cellStyle name="Migliaia 17 4 5" xfId="5825" xr:uid="{00000000-0005-0000-0000-00009C090000}"/>
    <cellStyle name="Migliaia 17 4 6" xfId="6770" xr:uid="{00000000-0005-0000-0000-00009D090000}"/>
    <cellStyle name="Migliaia 17 4 7" xfId="4848" xr:uid="{00000000-0005-0000-0000-00009E090000}"/>
    <cellStyle name="Migliaia 17 5" xfId="1013" xr:uid="{00000000-0005-0000-0000-00009F090000}"/>
    <cellStyle name="Migliaia 17 5 2" xfId="3691" xr:uid="{00000000-0005-0000-0000-0000A0090000}"/>
    <cellStyle name="Migliaia 17 5 3" xfId="5827" xr:uid="{00000000-0005-0000-0000-0000A1090000}"/>
    <cellStyle name="Migliaia 17 5 4" xfId="6772" xr:uid="{00000000-0005-0000-0000-0000A2090000}"/>
    <cellStyle name="Migliaia 17 5 5" xfId="4850" xr:uid="{00000000-0005-0000-0000-0000A3090000}"/>
    <cellStyle name="Migliaia 17 6" xfId="3692" xr:uid="{00000000-0005-0000-0000-0000A4090000}"/>
    <cellStyle name="Migliaia 17 7" xfId="5819" xr:uid="{00000000-0005-0000-0000-0000A5090000}"/>
    <cellStyle name="Migliaia 17 8" xfId="6764" xr:uid="{00000000-0005-0000-0000-0000A6090000}"/>
    <cellStyle name="Migliaia 17 9" xfId="4842" xr:uid="{00000000-0005-0000-0000-0000A7090000}"/>
    <cellStyle name="Migliaia 18" xfId="151" xr:uid="{00000000-0005-0000-0000-0000A8090000}"/>
    <cellStyle name="Migliaia 18 2" xfId="497" xr:uid="{00000000-0005-0000-0000-0000A9090000}"/>
    <cellStyle name="Migliaia 18 2 2" xfId="2358" xr:uid="{00000000-0005-0000-0000-0000AA090000}"/>
    <cellStyle name="Migliaia 18 2 2 2" xfId="3693" xr:uid="{00000000-0005-0000-0000-0000AB090000}"/>
    <cellStyle name="Migliaia 18 2 2 3" xfId="5830" xr:uid="{00000000-0005-0000-0000-0000AC090000}"/>
    <cellStyle name="Migliaia 18 2 2 4" xfId="6775" xr:uid="{00000000-0005-0000-0000-0000AD090000}"/>
    <cellStyle name="Migliaia 18 2 2 5" xfId="4853" xr:uid="{00000000-0005-0000-0000-0000AE090000}"/>
    <cellStyle name="Migliaia 18 2 3" xfId="3694" xr:uid="{00000000-0005-0000-0000-0000AF090000}"/>
    <cellStyle name="Migliaia 18 2 4" xfId="5829" xr:uid="{00000000-0005-0000-0000-0000B0090000}"/>
    <cellStyle name="Migliaia 18 2 5" xfId="6774" xr:uid="{00000000-0005-0000-0000-0000B1090000}"/>
    <cellStyle name="Migliaia 18 2 6" xfId="4852" xr:uid="{00000000-0005-0000-0000-0000B2090000}"/>
    <cellStyle name="Migliaia 18 3" xfId="1014" xr:uid="{00000000-0005-0000-0000-0000B3090000}"/>
    <cellStyle name="Migliaia 18 3 2" xfId="1015" xr:uid="{00000000-0005-0000-0000-0000B4090000}"/>
    <cellStyle name="Migliaia 18 3 2 2" xfId="3695" xr:uid="{00000000-0005-0000-0000-0000B5090000}"/>
    <cellStyle name="Migliaia 18 3 2 2 2" xfId="5833" xr:uid="{00000000-0005-0000-0000-0000B6090000}"/>
    <cellStyle name="Migliaia 18 3 2 2 3" xfId="6778" xr:uid="{00000000-0005-0000-0000-0000B7090000}"/>
    <cellStyle name="Migliaia 18 3 2 2 4" xfId="4856" xr:uid="{00000000-0005-0000-0000-0000B8090000}"/>
    <cellStyle name="Migliaia 18 3 2 3" xfId="3696" xr:uid="{00000000-0005-0000-0000-0000B9090000}"/>
    <cellStyle name="Migliaia 18 3 2 4" xfId="5832" xr:uid="{00000000-0005-0000-0000-0000BA090000}"/>
    <cellStyle name="Migliaia 18 3 2 5" xfId="6777" xr:uid="{00000000-0005-0000-0000-0000BB090000}"/>
    <cellStyle name="Migliaia 18 3 2 6" xfId="4855" xr:uid="{00000000-0005-0000-0000-0000BC090000}"/>
    <cellStyle name="Migliaia 18 3 3" xfId="1016" xr:uid="{00000000-0005-0000-0000-0000BD090000}"/>
    <cellStyle name="Migliaia 18 3 3 2" xfId="2360" xr:uid="{00000000-0005-0000-0000-0000BE090000}"/>
    <cellStyle name="Migliaia 18 3 4" xfId="2359" xr:uid="{00000000-0005-0000-0000-0000BF090000}"/>
    <cellStyle name="Migliaia 18 3 5" xfId="3697" xr:uid="{00000000-0005-0000-0000-0000C0090000}"/>
    <cellStyle name="Migliaia 18 3 6" xfId="5831" xr:uid="{00000000-0005-0000-0000-0000C1090000}"/>
    <cellStyle name="Migliaia 18 3 7" xfId="6776" xr:uid="{00000000-0005-0000-0000-0000C2090000}"/>
    <cellStyle name="Migliaia 18 3 8" xfId="4854" xr:uid="{00000000-0005-0000-0000-0000C3090000}"/>
    <cellStyle name="Migliaia 18 4" xfId="1017" xr:uid="{00000000-0005-0000-0000-0000C4090000}"/>
    <cellStyle name="Migliaia 18 4 2" xfId="1018" xr:uid="{00000000-0005-0000-0000-0000C5090000}"/>
    <cellStyle name="Migliaia 18 4 2 2" xfId="2362" xr:uid="{00000000-0005-0000-0000-0000C6090000}"/>
    <cellStyle name="Migliaia 18 4 2 3" xfId="3698" xr:uid="{00000000-0005-0000-0000-0000C7090000}"/>
    <cellStyle name="Migliaia 18 4 2 4" xfId="5835" xr:uid="{00000000-0005-0000-0000-0000C8090000}"/>
    <cellStyle name="Migliaia 18 4 2 5" xfId="6780" xr:uid="{00000000-0005-0000-0000-0000C9090000}"/>
    <cellStyle name="Migliaia 18 4 2 6" xfId="4858" xr:uid="{00000000-0005-0000-0000-0000CA090000}"/>
    <cellStyle name="Migliaia 18 4 3" xfId="2361" xr:uid="{00000000-0005-0000-0000-0000CB090000}"/>
    <cellStyle name="Migliaia 18 4 4" xfId="3699" xr:uid="{00000000-0005-0000-0000-0000CC090000}"/>
    <cellStyle name="Migliaia 18 4 5" xfId="5834" xr:uid="{00000000-0005-0000-0000-0000CD090000}"/>
    <cellStyle name="Migliaia 18 4 6" xfId="6779" xr:uid="{00000000-0005-0000-0000-0000CE090000}"/>
    <cellStyle name="Migliaia 18 4 7" xfId="4857" xr:uid="{00000000-0005-0000-0000-0000CF090000}"/>
    <cellStyle name="Migliaia 18 5" xfId="1019" xr:uid="{00000000-0005-0000-0000-0000D0090000}"/>
    <cellStyle name="Migliaia 18 5 2" xfId="3700" xr:uid="{00000000-0005-0000-0000-0000D1090000}"/>
    <cellStyle name="Migliaia 18 5 3" xfId="5836" xr:uid="{00000000-0005-0000-0000-0000D2090000}"/>
    <cellStyle name="Migliaia 18 5 4" xfId="6781" xr:uid="{00000000-0005-0000-0000-0000D3090000}"/>
    <cellStyle name="Migliaia 18 5 5" xfId="4859" xr:uid="{00000000-0005-0000-0000-0000D4090000}"/>
    <cellStyle name="Migliaia 18 6" xfId="3701" xr:uid="{00000000-0005-0000-0000-0000D5090000}"/>
    <cellStyle name="Migliaia 18 7" xfId="5828" xr:uid="{00000000-0005-0000-0000-0000D6090000}"/>
    <cellStyle name="Migliaia 18 8" xfId="6773" xr:uid="{00000000-0005-0000-0000-0000D7090000}"/>
    <cellStyle name="Migliaia 18 9" xfId="4851" xr:uid="{00000000-0005-0000-0000-0000D8090000}"/>
    <cellStyle name="Migliaia 19" xfId="152" xr:uid="{00000000-0005-0000-0000-0000D9090000}"/>
    <cellStyle name="Migliaia 19 2" xfId="498" xr:uid="{00000000-0005-0000-0000-0000DA090000}"/>
    <cellStyle name="Migliaia 19 2 2" xfId="2363" xr:uid="{00000000-0005-0000-0000-0000DB090000}"/>
    <cellStyle name="Migliaia 19 2 2 2" xfId="3702" xr:uid="{00000000-0005-0000-0000-0000DC090000}"/>
    <cellStyle name="Migliaia 19 2 2 3" xfId="5839" xr:uid="{00000000-0005-0000-0000-0000DD090000}"/>
    <cellStyle name="Migliaia 19 2 2 4" xfId="6784" xr:uid="{00000000-0005-0000-0000-0000DE090000}"/>
    <cellStyle name="Migliaia 19 2 2 5" xfId="4862" xr:uid="{00000000-0005-0000-0000-0000DF090000}"/>
    <cellStyle name="Migliaia 19 2 3" xfId="3703" xr:uid="{00000000-0005-0000-0000-0000E0090000}"/>
    <cellStyle name="Migliaia 19 2 4" xfId="5838" xr:uid="{00000000-0005-0000-0000-0000E1090000}"/>
    <cellStyle name="Migliaia 19 2 5" xfId="6783" xr:uid="{00000000-0005-0000-0000-0000E2090000}"/>
    <cellStyle name="Migliaia 19 2 6" xfId="4861" xr:uid="{00000000-0005-0000-0000-0000E3090000}"/>
    <cellStyle name="Migliaia 19 3" xfId="1020" xr:uid="{00000000-0005-0000-0000-0000E4090000}"/>
    <cellStyle name="Migliaia 19 3 2" xfId="1021" xr:uid="{00000000-0005-0000-0000-0000E5090000}"/>
    <cellStyle name="Migliaia 19 3 2 2" xfId="3704" xr:uid="{00000000-0005-0000-0000-0000E6090000}"/>
    <cellStyle name="Migliaia 19 3 2 2 2" xfId="5842" xr:uid="{00000000-0005-0000-0000-0000E7090000}"/>
    <cellStyle name="Migliaia 19 3 2 2 3" xfId="6787" xr:uid="{00000000-0005-0000-0000-0000E8090000}"/>
    <cellStyle name="Migliaia 19 3 2 2 4" xfId="4865" xr:uid="{00000000-0005-0000-0000-0000E9090000}"/>
    <cellStyle name="Migliaia 19 3 2 3" xfId="3705" xr:uid="{00000000-0005-0000-0000-0000EA090000}"/>
    <cellStyle name="Migliaia 19 3 2 4" xfId="5841" xr:uid="{00000000-0005-0000-0000-0000EB090000}"/>
    <cellStyle name="Migliaia 19 3 2 5" xfId="6786" xr:uid="{00000000-0005-0000-0000-0000EC090000}"/>
    <cellStyle name="Migliaia 19 3 2 6" xfId="4864" xr:uid="{00000000-0005-0000-0000-0000ED090000}"/>
    <cellStyle name="Migliaia 19 3 3" xfId="1022" xr:uid="{00000000-0005-0000-0000-0000EE090000}"/>
    <cellStyle name="Migliaia 19 3 3 2" xfId="2365" xr:uid="{00000000-0005-0000-0000-0000EF090000}"/>
    <cellStyle name="Migliaia 19 3 4" xfId="2364" xr:uid="{00000000-0005-0000-0000-0000F0090000}"/>
    <cellStyle name="Migliaia 19 3 5" xfId="3706" xr:uid="{00000000-0005-0000-0000-0000F1090000}"/>
    <cellStyle name="Migliaia 19 3 6" xfId="5840" xr:uid="{00000000-0005-0000-0000-0000F2090000}"/>
    <cellStyle name="Migliaia 19 3 7" xfId="6785" xr:uid="{00000000-0005-0000-0000-0000F3090000}"/>
    <cellStyle name="Migliaia 19 3 8" xfId="4863" xr:uid="{00000000-0005-0000-0000-0000F4090000}"/>
    <cellStyle name="Migliaia 19 4" xfId="1023" xr:uid="{00000000-0005-0000-0000-0000F5090000}"/>
    <cellStyle name="Migliaia 19 4 2" xfId="1024" xr:uid="{00000000-0005-0000-0000-0000F6090000}"/>
    <cellStyle name="Migliaia 19 4 2 2" xfId="2367" xr:uid="{00000000-0005-0000-0000-0000F7090000}"/>
    <cellStyle name="Migliaia 19 4 2 3" xfId="3707" xr:uid="{00000000-0005-0000-0000-0000F8090000}"/>
    <cellStyle name="Migliaia 19 4 2 4" xfId="5844" xr:uid="{00000000-0005-0000-0000-0000F9090000}"/>
    <cellStyle name="Migliaia 19 4 2 5" xfId="6789" xr:uid="{00000000-0005-0000-0000-0000FA090000}"/>
    <cellStyle name="Migliaia 19 4 2 6" xfId="4867" xr:uid="{00000000-0005-0000-0000-0000FB090000}"/>
    <cellStyle name="Migliaia 19 4 3" xfId="2366" xr:uid="{00000000-0005-0000-0000-0000FC090000}"/>
    <cellStyle name="Migliaia 19 4 4" xfId="3708" xr:uid="{00000000-0005-0000-0000-0000FD090000}"/>
    <cellStyle name="Migliaia 19 4 5" xfId="5843" xr:uid="{00000000-0005-0000-0000-0000FE090000}"/>
    <cellStyle name="Migliaia 19 4 6" xfId="6788" xr:uid="{00000000-0005-0000-0000-0000FF090000}"/>
    <cellStyle name="Migliaia 19 4 7" xfId="4866" xr:uid="{00000000-0005-0000-0000-0000000A0000}"/>
    <cellStyle name="Migliaia 19 5" xfId="1025" xr:uid="{00000000-0005-0000-0000-0000010A0000}"/>
    <cellStyle name="Migliaia 19 5 2" xfId="3709" xr:uid="{00000000-0005-0000-0000-0000020A0000}"/>
    <cellStyle name="Migliaia 19 5 3" xfId="5845" xr:uid="{00000000-0005-0000-0000-0000030A0000}"/>
    <cellStyle name="Migliaia 19 5 4" xfId="6790" xr:uid="{00000000-0005-0000-0000-0000040A0000}"/>
    <cellStyle name="Migliaia 19 5 5" xfId="4868" xr:uid="{00000000-0005-0000-0000-0000050A0000}"/>
    <cellStyle name="Migliaia 19 6" xfId="3710" xr:uid="{00000000-0005-0000-0000-0000060A0000}"/>
    <cellStyle name="Migliaia 19 7" xfId="5837" xr:uid="{00000000-0005-0000-0000-0000070A0000}"/>
    <cellStyle name="Migliaia 19 8" xfId="6782" xr:uid="{00000000-0005-0000-0000-0000080A0000}"/>
    <cellStyle name="Migliaia 19 9" xfId="4860" xr:uid="{00000000-0005-0000-0000-0000090A0000}"/>
    <cellStyle name="Migliaia 2" xfId="153" xr:uid="{00000000-0005-0000-0000-00000A0A0000}"/>
    <cellStyle name="Migliaia 2 10" xfId="4869" xr:uid="{00000000-0005-0000-0000-00000B0A0000}"/>
    <cellStyle name="Migliaia 2 2" xfId="154" xr:uid="{00000000-0005-0000-0000-00000C0A0000}"/>
    <cellStyle name="Migliaia 2 2 2" xfId="2074" xr:uid="{00000000-0005-0000-0000-00000D0A0000}"/>
    <cellStyle name="Migliaia 2 2 2 2" xfId="3711" xr:uid="{00000000-0005-0000-0000-00000E0A0000}"/>
    <cellStyle name="Migliaia 2 2 2 2 2" xfId="5849" xr:uid="{00000000-0005-0000-0000-00000F0A0000}"/>
    <cellStyle name="Migliaia 2 2 2 2 3" xfId="6794" xr:uid="{00000000-0005-0000-0000-0000100A0000}"/>
    <cellStyle name="Migliaia 2 2 2 2 4" xfId="4872" xr:uid="{00000000-0005-0000-0000-0000110A0000}"/>
    <cellStyle name="Migliaia 2 2 2 3" xfId="3712" xr:uid="{00000000-0005-0000-0000-0000120A0000}"/>
    <cellStyle name="Migliaia 2 2 2 4" xfId="5848" xr:uid="{00000000-0005-0000-0000-0000130A0000}"/>
    <cellStyle name="Migliaia 2 2 2 5" xfId="6793" xr:uid="{00000000-0005-0000-0000-0000140A0000}"/>
    <cellStyle name="Migliaia 2 2 2 6" xfId="4871" xr:uid="{00000000-0005-0000-0000-0000150A0000}"/>
    <cellStyle name="Migliaia 2 2 3" xfId="3713" xr:uid="{00000000-0005-0000-0000-0000160A0000}"/>
    <cellStyle name="Migliaia 2 2 3 2" xfId="5850" xr:uid="{00000000-0005-0000-0000-0000170A0000}"/>
    <cellStyle name="Migliaia 2 2 3 3" xfId="6795" xr:uid="{00000000-0005-0000-0000-0000180A0000}"/>
    <cellStyle name="Migliaia 2 2 3 4" xfId="4873" xr:uid="{00000000-0005-0000-0000-0000190A0000}"/>
    <cellStyle name="Migliaia 2 2 4" xfId="3714" xr:uid="{00000000-0005-0000-0000-00001A0A0000}"/>
    <cellStyle name="Migliaia 2 2 5" xfId="5847" xr:uid="{00000000-0005-0000-0000-00001B0A0000}"/>
    <cellStyle name="Migliaia 2 2 6" xfId="6792" xr:uid="{00000000-0005-0000-0000-00001C0A0000}"/>
    <cellStyle name="Migliaia 2 2 7" xfId="4870" xr:uid="{00000000-0005-0000-0000-00001D0A0000}"/>
    <cellStyle name="Migliaia 2 3" xfId="155" xr:uid="{00000000-0005-0000-0000-00001E0A0000}"/>
    <cellStyle name="Migliaia 2 3 2" xfId="2075" xr:uid="{00000000-0005-0000-0000-00001F0A0000}"/>
    <cellStyle name="Migliaia 2 3 2 2" xfId="3715" xr:uid="{00000000-0005-0000-0000-0000200A0000}"/>
    <cellStyle name="Migliaia 2 3 2 2 2" xfId="5853" xr:uid="{00000000-0005-0000-0000-0000210A0000}"/>
    <cellStyle name="Migliaia 2 3 2 2 3" xfId="6798" xr:uid="{00000000-0005-0000-0000-0000220A0000}"/>
    <cellStyle name="Migliaia 2 3 2 2 4" xfId="4876" xr:uid="{00000000-0005-0000-0000-0000230A0000}"/>
    <cellStyle name="Migliaia 2 3 2 3" xfId="3716" xr:uid="{00000000-0005-0000-0000-0000240A0000}"/>
    <cellStyle name="Migliaia 2 3 2 4" xfId="5852" xr:uid="{00000000-0005-0000-0000-0000250A0000}"/>
    <cellStyle name="Migliaia 2 3 2 5" xfId="6797" xr:uid="{00000000-0005-0000-0000-0000260A0000}"/>
    <cellStyle name="Migliaia 2 3 2 6" xfId="4875" xr:uid="{00000000-0005-0000-0000-0000270A0000}"/>
    <cellStyle name="Migliaia 2 3 3" xfId="3717" xr:uid="{00000000-0005-0000-0000-0000280A0000}"/>
    <cellStyle name="Migliaia 2 3 3 2" xfId="5854" xr:uid="{00000000-0005-0000-0000-0000290A0000}"/>
    <cellStyle name="Migliaia 2 3 3 3" xfId="6799" xr:uid="{00000000-0005-0000-0000-00002A0A0000}"/>
    <cellStyle name="Migliaia 2 3 3 4" xfId="4877" xr:uid="{00000000-0005-0000-0000-00002B0A0000}"/>
    <cellStyle name="Migliaia 2 3 4" xfId="3718" xr:uid="{00000000-0005-0000-0000-00002C0A0000}"/>
    <cellStyle name="Migliaia 2 3 5" xfId="5851" xr:uid="{00000000-0005-0000-0000-00002D0A0000}"/>
    <cellStyle name="Migliaia 2 3 6" xfId="6796" xr:uid="{00000000-0005-0000-0000-00002E0A0000}"/>
    <cellStyle name="Migliaia 2 3 7" xfId="4874" xr:uid="{00000000-0005-0000-0000-00002F0A0000}"/>
    <cellStyle name="Migliaia 2 4" xfId="1026" xr:uid="{00000000-0005-0000-0000-0000300A0000}"/>
    <cellStyle name="Migliaia 2 4 2" xfId="1027" xr:uid="{00000000-0005-0000-0000-0000310A0000}"/>
    <cellStyle name="Migliaia 2 4 2 2" xfId="3719" xr:uid="{00000000-0005-0000-0000-0000320A0000}"/>
    <cellStyle name="Migliaia 2 4 2 2 2" xfId="5857" xr:uid="{00000000-0005-0000-0000-0000330A0000}"/>
    <cellStyle name="Migliaia 2 4 2 2 3" xfId="6802" xr:uid="{00000000-0005-0000-0000-0000340A0000}"/>
    <cellStyle name="Migliaia 2 4 2 2 4" xfId="4880" xr:uid="{00000000-0005-0000-0000-0000350A0000}"/>
    <cellStyle name="Migliaia 2 4 2 3" xfId="3720" xr:uid="{00000000-0005-0000-0000-0000360A0000}"/>
    <cellStyle name="Migliaia 2 4 2 4" xfId="5856" xr:uid="{00000000-0005-0000-0000-0000370A0000}"/>
    <cellStyle name="Migliaia 2 4 2 5" xfId="6801" xr:uid="{00000000-0005-0000-0000-0000380A0000}"/>
    <cellStyle name="Migliaia 2 4 2 6" xfId="4879" xr:uid="{00000000-0005-0000-0000-0000390A0000}"/>
    <cellStyle name="Migliaia 2 4 3" xfId="1028" xr:uid="{00000000-0005-0000-0000-00003A0A0000}"/>
    <cellStyle name="Migliaia 2 4 3 2" xfId="2369" xr:uid="{00000000-0005-0000-0000-00003B0A0000}"/>
    <cellStyle name="Migliaia 2 4 4" xfId="2368" xr:uid="{00000000-0005-0000-0000-00003C0A0000}"/>
    <cellStyle name="Migliaia 2 4 5" xfId="3721" xr:uid="{00000000-0005-0000-0000-00003D0A0000}"/>
    <cellStyle name="Migliaia 2 4 6" xfId="5855" xr:uid="{00000000-0005-0000-0000-00003E0A0000}"/>
    <cellStyle name="Migliaia 2 4 7" xfId="6800" xr:uid="{00000000-0005-0000-0000-00003F0A0000}"/>
    <cellStyle name="Migliaia 2 4 8" xfId="4878" xr:uid="{00000000-0005-0000-0000-0000400A0000}"/>
    <cellStyle name="Migliaia 2 5" xfId="1029" xr:uid="{00000000-0005-0000-0000-0000410A0000}"/>
    <cellStyle name="Migliaia 2 5 2" xfId="1030" xr:uid="{00000000-0005-0000-0000-0000420A0000}"/>
    <cellStyle name="Migliaia 2 5 2 2" xfId="2371" xr:uid="{00000000-0005-0000-0000-0000430A0000}"/>
    <cellStyle name="Migliaia 2 5 2 3" xfId="3722" xr:uid="{00000000-0005-0000-0000-0000440A0000}"/>
    <cellStyle name="Migliaia 2 5 2 4" xfId="5859" xr:uid="{00000000-0005-0000-0000-0000450A0000}"/>
    <cellStyle name="Migliaia 2 5 2 5" xfId="6804" xr:uid="{00000000-0005-0000-0000-0000460A0000}"/>
    <cellStyle name="Migliaia 2 5 2 6" xfId="4882" xr:uid="{00000000-0005-0000-0000-0000470A0000}"/>
    <cellStyle name="Migliaia 2 5 3" xfId="2370" xr:uid="{00000000-0005-0000-0000-0000480A0000}"/>
    <cellStyle name="Migliaia 2 5 4" xfId="3723" xr:uid="{00000000-0005-0000-0000-0000490A0000}"/>
    <cellStyle name="Migliaia 2 5 5" xfId="5858" xr:uid="{00000000-0005-0000-0000-00004A0A0000}"/>
    <cellStyle name="Migliaia 2 5 6" xfId="6803" xr:uid="{00000000-0005-0000-0000-00004B0A0000}"/>
    <cellStyle name="Migliaia 2 5 7" xfId="4881" xr:uid="{00000000-0005-0000-0000-00004C0A0000}"/>
    <cellStyle name="Migliaia 2 6" xfId="1031" xr:uid="{00000000-0005-0000-0000-00004D0A0000}"/>
    <cellStyle name="Migliaia 2 6 2" xfId="3724" xr:uid="{00000000-0005-0000-0000-00004E0A0000}"/>
    <cellStyle name="Migliaia 2 6 3" xfId="5860" xr:uid="{00000000-0005-0000-0000-00004F0A0000}"/>
    <cellStyle name="Migliaia 2 6 4" xfId="6805" xr:uid="{00000000-0005-0000-0000-0000500A0000}"/>
    <cellStyle name="Migliaia 2 6 5" xfId="4883" xr:uid="{00000000-0005-0000-0000-0000510A0000}"/>
    <cellStyle name="Migliaia 2 7" xfId="3725" xr:uid="{00000000-0005-0000-0000-0000520A0000}"/>
    <cellStyle name="Migliaia 2 8" xfId="5846" xr:uid="{00000000-0005-0000-0000-0000530A0000}"/>
    <cellStyle name="Migliaia 2 9" xfId="6791" xr:uid="{00000000-0005-0000-0000-0000540A0000}"/>
    <cellStyle name="Migliaia 2_Domestico_reg&amp;naz" xfId="156" xr:uid="{00000000-0005-0000-0000-0000550A0000}"/>
    <cellStyle name="Migliaia 20" xfId="157" xr:uid="{00000000-0005-0000-0000-0000560A0000}"/>
    <cellStyle name="Migliaia 20 2" xfId="499" xr:uid="{00000000-0005-0000-0000-0000570A0000}"/>
    <cellStyle name="Migliaia 20 2 2" xfId="2372" xr:uid="{00000000-0005-0000-0000-0000580A0000}"/>
    <cellStyle name="Migliaia 20 2 2 2" xfId="3726" xr:uid="{00000000-0005-0000-0000-0000590A0000}"/>
    <cellStyle name="Migliaia 20 2 2 3" xfId="5863" xr:uid="{00000000-0005-0000-0000-00005A0A0000}"/>
    <cellStyle name="Migliaia 20 2 2 4" xfId="6808" xr:uid="{00000000-0005-0000-0000-00005B0A0000}"/>
    <cellStyle name="Migliaia 20 2 2 5" xfId="4886" xr:uid="{00000000-0005-0000-0000-00005C0A0000}"/>
    <cellStyle name="Migliaia 20 2 3" xfId="3727" xr:uid="{00000000-0005-0000-0000-00005D0A0000}"/>
    <cellStyle name="Migliaia 20 2 4" xfId="5862" xr:uid="{00000000-0005-0000-0000-00005E0A0000}"/>
    <cellStyle name="Migliaia 20 2 5" xfId="6807" xr:uid="{00000000-0005-0000-0000-00005F0A0000}"/>
    <cellStyle name="Migliaia 20 2 6" xfId="4885" xr:uid="{00000000-0005-0000-0000-0000600A0000}"/>
    <cellStyle name="Migliaia 20 3" xfId="1032" xr:uid="{00000000-0005-0000-0000-0000610A0000}"/>
    <cellStyle name="Migliaia 20 3 2" xfId="1033" xr:uid="{00000000-0005-0000-0000-0000620A0000}"/>
    <cellStyle name="Migliaia 20 3 2 2" xfId="3728" xr:uid="{00000000-0005-0000-0000-0000630A0000}"/>
    <cellStyle name="Migliaia 20 3 2 2 2" xfId="5866" xr:uid="{00000000-0005-0000-0000-0000640A0000}"/>
    <cellStyle name="Migliaia 20 3 2 2 3" xfId="6811" xr:uid="{00000000-0005-0000-0000-0000650A0000}"/>
    <cellStyle name="Migliaia 20 3 2 2 4" xfId="4889" xr:uid="{00000000-0005-0000-0000-0000660A0000}"/>
    <cellStyle name="Migliaia 20 3 2 3" xfId="3729" xr:uid="{00000000-0005-0000-0000-0000670A0000}"/>
    <cellStyle name="Migliaia 20 3 2 4" xfId="5865" xr:uid="{00000000-0005-0000-0000-0000680A0000}"/>
    <cellStyle name="Migliaia 20 3 2 5" xfId="6810" xr:uid="{00000000-0005-0000-0000-0000690A0000}"/>
    <cellStyle name="Migliaia 20 3 2 6" xfId="4888" xr:uid="{00000000-0005-0000-0000-00006A0A0000}"/>
    <cellStyle name="Migliaia 20 3 3" xfId="1034" xr:uid="{00000000-0005-0000-0000-00006B0A0000}"/>
    <cellStyle name="Migliaia 20 3 3 2" xfId="2374" xr:uid="{00000000-0005-0000-0000-00006C0A0000}"/>
    <cellStyle name="Migliaia 20 3 4" xfId="2373" xr:uid="{00000000-0005-0000-0000-00006D0A0000}"/>
    <cellStyle name="Migliaia 20 3 5" xfId="3730" xr:uid="{00000000-0005-0000-0000-00006E0A0000}"/>
    <cellStyle name="Migliaia 20 3 6" xfId="5864" xr:uid="{00000000-0005-0000-0000-00006F0A0000}"/>
    <cellStyle name="Migliaia 20 3 7" xfId="6809" xr:uid="{00000000-0005-0000-0000-0000700A0000}"/>
    <cellStyle name="Migliaia 20 3 8" xfId="4887" xr:uid="{00000000-0005-0000-0000-0000710A0000}"/>
    <cellStyle name="Migliaia 20 4" xfId="1035" xr:uid="{00000000-0005-0000-0000-0000720A0000}"/>
    <cellStyle name="Migliaia 20 4 2" xfId="1036" xr:uid="{00000000-0005-0000-0000-0000730A0000}"/>
    <cellStyle name="Migliaia 20 4 2 2" xfId="2376" xr:uid="{00000000-0005-0000-0000-0000740A0000}"/>
    <cellStyle name="Migliaia 20 4 2 3" xfId="3731" xr:uid="{00000000-0005-0000-0000-0000750A0000}"/>
    <cellStyle name="Migliaia 20 4 2 4" xfId="5868" xr:uid="{00000000-0005-0000-0000-0000760A0000}"/>
    <cellStyle name="Migliaia 20 4 2 5" xfId="6813" xr:uid="{00000000-0005-0000-0000-0000770A0000}"/>
    <cellStyle name="Migliaia 20 4 2 6" xfId="4891" xr:uid="{00000000-0005-0000-0000-0000780A0000}"/>
    <cellStyle name="Migliaia 20 4 3" xfId="2375" xr:uid="{00000000-0005-0000-0000-0000790A0000}"/>
    <cellStyle name="Migliaia 20 4 4" xfId="3732" xr:uid="{00000000-0005-0000-0000-00007A0A0000}"/>
    <cellStyle name="Migliaia 20 4 5" xfId="5867" xr:uid="{00000000-0005-0000-0000-00007B0A0000}"/>
    <cellStyle name="Migliaia 20 4 6" xfId="6812" xr:uid="{00000000-0005-0000-0000-00007C0A0000}"/>
    <cellStyle name="Migliaia 20 4 7" xfId="4890" xr:uid="{00000000-0005-0000-0000-00007D0A0000}"/>
    <cellStyle name="Migliaia 20 5" xfId="1037" xr:uid="{00000000-0005-0000-0000-00007E0A0000}"/>
    <cellStyle name="Migliaia 20 5 2" xfId="3733" xr:uid="{00000000-0005-0000-0000-00007F0A0000}"/>
    <cellStyle name="Migliaia 20 5 3" xfId="5869" xr:uid="{00000000-0005-0000-0000-0000800A0000}"/>
    <cellStyle name="Migliaia 20 5 4" xfId="6814" xr:uid="{00000000-0005-0000-0000-0000810A0000}"/>
    <cellStyle name="Migliaia 20 5 5" xfId="4892" xr:uid="{00000000-0005-0000-0000-0000820A0000}"/>
    <cellStyle name="Migliaia 20 6" xfId="3734" xr:uid="{00000000-0005-0000-0000-0000830A0000}"/>
    <cellStyle name="Migliaia 20 7" xfId="5861" xr:uid="{00000000-0005-0000-0000-0000840A0000}"/>
    <cellStyle name="Migliaia 20 8" xfId="6806" xr:uid="{00000000-0005-0000-0000-0000850A0000}"/>
    <cellStyle name="Migliaia 20 9" xfId="4884" xr:uid="{00000000-0005-0000-0000-0000860A0000}"/>
    <cellStyle name="Migliaia 21" xfId="158" xr:uid="{00000000-0005-0000-0000-0000870A0000}"/>
    <cellStyle name="Migliaia 21 2" xfId="500" xr:uid="{00000000-0005-0000-0000-0000880A0000}"/>
    <cellStyle name="Migliaia 21 2 2" xfId="2377" xr:uid="{00000000-0005-0000-0000-0000890A0000}"/>
    <cellStyle name="Migliaia 21 2 2 2" xfId="3735" xr:uid="{00000000-0005-0000-0000-00008A0A0000}"/>
    <cellStyle name="Migliaia 21 2 2 3" xfId="5872" xr:uid="{00000000-0005-0000-0000-00008B0A0000}"/>
    <cellStyle name="Migliaia 21 2 2 4" xfId="6817" xr:uid="{00000000-0005-0000-0000-00008C0A0000}"/>
    <cellStyle name="Migliaia 21 2 2 5" xfId="4895" xr:uid="{00000000-0005-0000-0000-00008D0A0000}"/>
    <cellStyle name="Migliaia 21 2 3" xfId="3736" xr:uid="{00000000-0005-0000-0000-00008E0A0000}"/>
    <cellStyle name="Migliaia 21 2 4" xfId="5871" xr:uid="{00000000-0005-0000-0000-00008F0A0000}"/>
    <cellStyle name="Migliaia 21 2 5" xfId="6816" xr:uid="{00000000-0005-0000-0000-0000900A0000}"/>
    <cellStyle name="Migliaia 21 2 6" xfId="4894" xr:uid="{00000000-0005-0000-0000-0000910A0000}"/>
    <cellStyle name="Migliaia 21 3" xfId="1038" xr:uid="{00000000-0005-0000-0000-0000920A0000}"/>
    <cellStyle name="Migliaia 21 3 2" xfId="1039" xr:uid="{00000000-0005-0000-0000-0000930A0000}"/>
    <cellStyle name="Migliaia 21 3 2 2" xfId="3737" xr:uid="{00000000-0005-0000-0000-0000940A0000}"/>
    <cellStyle name="Migliaia 21 3 2 2 2" xfId="5875" xr:uid="{00000000-0005-0000-0000-0000950A0000}"/>
    <cellStyle name="Migliaia 21 3 2 2 3" xfId="6820" xr:uid="{00000000-0005-0000-0000-0000960A0000}"/>
    <cellStyle name="Migliaia 21 3 2 2 4" xfId="4898" xr:uid="{00000000-0005-0000-0000-0000970A0000}"/>
    <cellStyle name="Migliaia 21 3 2 3" xfId="3738" xr:uid="{00000000-0005-0000-0000-0000980A0000}"/>
    <cellStyle name="Migliaia 21 3 2 4" xfId="5874" xr:uid="{00000000-0005-0000-0000-0000990A0000}"/>
    <cellStyle name="Migliaia 21 3 2 5" xfId="6819" xr:uid="{00000000-0005-0000-0000-00009A0A0000}"/>
    <cellStyle name="Migliaia 21 3 2 6" xfId="4897" xr:uid="{00000000-0005-0000-0000-00009B0A0000}"/>
    <cellStyle name="Migliaia 21 3 3" xfId="1040" xr:uid="{00000000-0005-0000-0000-00009C0A0000}"/>
    <cellStyle name="Migliaia 21 3 3 2" xfId="2379" xr:uid="{00000000-0005-0000-0000-00009D0A0000}"/>
    <cellStyle name="Migliaia 21 3 4" xfId="2378" xr:uid="{00000000-0005-0000-0000-00009E0A0000}"/>
    <cellStyle name="Migliaia 21 3 5" xfId="3739" xr:uid="{00000000-0005-0000-0000-00009F0A0000}"/>
    <cellStyle name="Migliaia 21 3 6" xfId="5873" xr:uid="{00000000-0005-0000-0000-0000A00A0000}"/>
    <cellStyle name="Migliaia 21 3 7" xfId="6818" xr:uid="{00000000-0005-0000-0000-0000A10A0000}"/>
    <cellStyle name="Migliaia 21 3 8" xfId="4896" xr:uid="{00000000-0005-0000-0000-0000A20A0000}"/>
    <cellStyle name="Migliaia 21 4" xfId="1041" xr:uid="{00000000-0005-0000-0000-0000A30A0000}"/>
    <cellStyle name="Migliaia 21 4 2" xfId="1042" xr:uid="{00000000-0005-0000-0000-0000A40A0000}"/>
    <cellStyle name="Migliaia 21 4 2 2" xfId="2381" xr:uid="{00000000-0005-0000-0000-0000A50A0000}"/>
    <cellStyle name="Migliaia 21 4 2 3" xfId="3740" xr:uid="{00000000-0005-0000-0000-0000A60A0000}"/>
    <cellStyle name="Migliaia 21 4 2 4" xfId="5877" xr:uid="{00000000-0005-0000-0000-0000A70A0000}"/>
    <cellStyle name="Migliaia 21 4 2 5" xfId="6822" xr:uid="{00000000-0005-0000-0000-0000A80A0000}"/>
    <cellStyle name="Migliaia 21 4 2 6" xfId="4900" xr:uid="{00000000-0005-0000-0000-0000A90A0000}"/>
    <cellStyle name="Migliaia 21 4 3" xfId="2380" xr:uid="{00000000-0005-0000-0000-0000AA0A0000}"/>
    <cellStyle name="Migliaia 21 4 4" xfId="3741" xr:uid="{00000000-0005-0000-0000-0000AB0A0000}"/>
    <cellStyle name="Migliaia 21 4 5" xfId="5876" xr:uid="{00000000-0005-0000-0000-0000AC0A0000}"/>
    <cellStyle name="Migliaia 21 4 6" xfId="6821" xr:uid="{00000000-0005-0000-0000-0000AD0A0000}"/>
    <cellStyle name="Migliaia 21 4 7" xfId="4899" xr:uid="{00000000-0005-0000-0000-0000AE0A0000}"/>
    <cellStyle name="Migliaia 21 5" xfId="1043" xr:uid="{00000000-0005-0000-0000-0000AF0A0000}"/>
    <cellStyle name="Migliaia 21 5 2" xfId="3742" xr:uid="{00000000-0005-0000-0000-0000B00A0000}"/>
    <cellStyle name="Migliaia 21 5 3" xfId="5878" xr:uid="{00000000-0005-0000-0000-0000B10A0000}"/>
    <cellStyle name="Migliaia 21 5 4" xfId="6823" xr:uid="{00000000-0005-0000-0000-0000B20A0000}"/>
    <cellStyle name="Migliaia 21 5 5" xfId="4901" xr:uid="{00000000-0005-0000-0000-0000B30A0000}"/>
    <cellStyle name="Migliaia 21 6" xfId="3743" xr:uid="{00000000-0005-0000-0000-0000B40A0000}"/>
    <cellStyle name="Migliaia 21 7" xfId="5870" xr:uid="{00000000-0005-0000-0000-0000B50A0000}"/>
    <cellStyle name="Migliaia 21 8" xfId="6815" xr:uid="{00000000-0005-0000-0000-0000B60A0000}"/>
    <cellStyle name="Migliaia 21 9" xfId="4893" xr:uid="{00000000-0005-0000-0000-0000B70A0000}"/>
    <cellStyle name="Migliaia 22" xfId="159" xr:uid="{00000000-0005-0000-0000-0000B80A0000}"/>
    <cellStyle name="Migliaia 22 2" xfId="501" xr:uid="{00000000-0005-0000-0000-0000B90A0000}"/>
    <cellStyle name="Migliaia 22 2 2" xfId="2382" xr:uid="{00000000-0005-0000-0000-0000BA0A0000}"/>
    <cellStyle name="Migliaia 22 2 2 2" xfId="3744" xr:uid="{00000000-0005-0000-0000-0000BB0A0000}"/>
    <cellStyle name="Migliaia 22 2 2 3" xfId="5881" xr:uid="{00000000-0005-0000-0000-0000BC0A0000}"/>
    <cellStyle name="Migliaia 22 2 2 4" xfId="6826" xr:uid="{00000000-0005-0000-0000-0000BD0A0000}"/>
    <cellStyle name="Migliaia 22 2 2 5" xfId="4904" xr:uid="{00000000-0005-0000-0000-0000BE0A0000}"/>
    <cellStyle name="Migliaia 22 2 3" xfId="3745" xr:uid="{00000000-0005-0000-0000-0000BF0A0000}"/>
    <cellStyle name="Migliaia 22 2 4" xfId="5880" xr:uid="{00000000-0005-0000-0000-0000C00A0000}"/>
    <cellStyle name="Migliaia 22 2 5" xfId="6825" xr:uid="{00000000-0005-0000-0000-0000C10A0000}"/>
    <cellStyle name="Migliaia 22 2 6" xfId="4903" xr:uid="{00000000-0005-0000-0000-0000C20A0000}"/>
    <cellStyle name="Migliaia 22 3" xfId="1044" xr:uid="{00000000-0005-0000-0000-0000C30A0000}"/>
    <cellStyle name="Migliaia 22 3 2" xfId="1045" xr:uid="{00000000-0005-0000-0000-0000C40A0000}"/>
    <cellStyle name="Migliaia 22 3 2 2" xfId="3746" xr:uid="{00000000-0005-0000-0000-0000C50A0000}"/>
    <cellStyle name="Migliaia 22 3 2 2 2" xfId="5884" xr:uid="{00000000-0005-0000-0000-0000C60A0000}"/>
    <cellStyle name="Migliaia 22 3 2 2 3" xfId="6829" xr:uid="{00000000-0005-0000-0000-0000C70A0000}"/>
    <cellStyle name="Migliaia 22 3 2 2 4" xfId="4907" xr:uid="{00000000-0005-0000-0000-0000C80A0000}"/>
    <cellStyle name="Migliaia 22 3 2 3" xfId="3747" xr:uid="{00000000-0005-0000-0000-0000C90A0000}"/>
    <cellStyle name="Migliaia 22 3 2 4" xfId="5883" xr:uid="{00000000-0005-0000-0000-0000CA0A0000}"/>
    <cellStyle name="Migliaia 22 3 2 5" xfId="6828" xr:uid="{00000000-0005-0000-0000-0000CB0A0000}"/>
    <cellStyle name="Migliaia 22 3 2 6" xfId="4906" xr:uid="{00000000-0005-0000-0000-0000CC0A0000}"/>
    <cellStyle name="Migliaia 22 3 3" xfId="1046" xr:uid="{00000000-0005-0000-0000-0000CD0A0000}"/>
    <cellStyle name="Migliaia 22 3 3 2" xfId="2384" xr:uid="{00000000-0005-0000-0000-0000CE0A0000}"/>
    <cellStyle name="Migliaia 22 3 4" xfId="2383" xr:uid="{00000000-0005-0000-0000-0000CF0A0000}"/>
    <cellStyle name="Migliaia 22 3 5" xfId="3748" xr:uid="{00000000-0005-0000-0000-0000D00A0000}"/>
    <cellStyle name="Migliaia 22 3 6" xfId="5882" xr:uid="{00000000-0005-0000-0000-0000D10A0000}"/>
    <cellStyle name="Migliaia 22 3 7" xfId="6827" xr:uid="{00000000-0005-0000-0000-0000D20A0000}"/>
    <cellStyle name="Migliaia 22 3 8" xfId="4905" xr:uid="{00000000-0005-0000-0000-0000D30A0000}"/>
    <cellStyle name="Migliaia 22 4" xfId="1047" xr:uid="{00000000-0005-0000-0000-0000D40A0000}"/>
    <cellStyle name="Migliaia 22 4 2" xfId="1048" xr:uid="{00000000-0005-0000-0000-0000D50A0000}"/>
    <cellStyle name="Migliaia 22 4 2 2" xfId="2386" xr:uid="{00000000-0005-0000-0000-0000D60A0000}"/>
    <cellStyle name="Migliaia 22 4 2 3" xfId="3749" xr:uid="{00000000-0005-0000-0000-0000D70A0000}"/>
    <cellStyle name="Migliaia 22 4 2 4" xfId="5886" xr:uid="{00000000-0005-0000-0000-0000D80A0000}"/>
    <cellStyle name="Migliaia 22 4 2 5" xfId="6831" xr:uid="{00000000-0005-0000-0000-0000D90A0000}"/>
    <cellStyle name="Migliaia 22 4 2 6" xfId="4909" xr:uid="{00000000-0005-0000-0000-0000DA0A0000}"/>
    <cellStyle name="Migliaia 22 4 3" xfId="2385" xr:uid="{00000000-0005-0000-0000-0000DB0A0000}"/>
    <cellStyle name="Migliaia 22 4 4" xfId="3750" xr:uid="{00000000-0005-0000-0000-0000DC0A0000}"/>
    <cellStyle name="Migliaia 22 4 5" xfId="5885" xr:uid="{00000000-0005-0000-0000-0000DD0A0000}"/>
    <cellStyle name="Migliaia 22 4 6" xfId="6830" xr:uid="{00000000-0005-0000-0000-0000DE0A0000}"/>
    <cellStyle name="Migliaia 22 4 7" xfId="4908" xr:uid="{00000000-0005-0000-0000-0000DF0A0000}"/>
    <cellStyle name="Migliaia 22 5" xfId="1049" xr:uid="{00000000-0005-0000-0000-0000E00A0000}"/>
    <cellStyle name="Migliaia 22 5 2" xfId="3751" xr:uid="{00000000-0005-0000-0000-0000E10A0000}"/>
    <cellStyle name="Migliaia 22 5 3" xfId="5887" xr:uid="{00000000-0005-0000-0000-0000E20A0000}"/>
    <cellStyle name="Migliaia 22 5 4" xfId="6832" xr:uid="{00000000-0005-0000-0000-0000E30A0000}"/>
    <cellStyle name="Migliaia 22 5 5" xfId="4910" xr:uid="{00000000-0005-0000-0000-0000E40A0000}"/>
    <cellStyle name="Migliaia 22 6" xfId="3752" xr:uid="{00000000-0005-0000-0000-0000E50A0000}"/>
    <cellStyle name="Migliaia 22 7" xfId="5879" xr:uid="{00000000-0005-0000-0000-0000E60A0000}"/>
    <cellStyle name="Migliaia 22 8" xfId="6824" xr:uid="{00000000-0005-0000-0000-0000E70A0000}"/>
    <cellStyle name="Migliaia 22 9" xfId="4902" xr:uid="{00000000-0005-0000-0000-0000E80A0000}"/>
    <cellStyle name="Migliaia 23" xfId="160" xr:uid="{00000000-0005-0000-0000-0000E90A0000}"/>
    <cellStyle name="Migliaia 23 2" xfId="502" xr:uid="{00000000-0005-0000-0000-0000EA0A0000}"/>
    <cellStyle name="Migliaia 23 2 2" xfId="2387" xr:uid="{00000000-0005-0000-0000-0000EB0A0000}"/>
    <cellStyle name="Migliaia 23 2 2 2" xfId="3753" xr:uid="{00000000-0005-0000-0000-0000EC0A0000}"/>
    <cellStyle name="Migliaia 23 2 2 3" xfId="5890" xr:uid="{00000000-0005-0000-0000-0000ED0A0000}"/>
    <cellStyle name="Migliaia 23 2 2 4" xfId="6835" xr:uid="{00000000-0005-0000-0000-0000EE0A0000}"/>
    <cellStyle name="Migliaia 23 2 2 5" xfId="4913" xr:uid="{00000000-0005-0000-0000-0000EF0A0000}"/>
    <cellStyle name="Migliaia 23 2 3" xfId="3754" xr:uid="{00000000-0005-0000-0000-0000F00A0000}"/>
    <cellStyle name="Migliaia 23 2 4" xfId="5889" xr:uid="{00000000-0005-0000-0000-0000F10A0000}"/>
    <cellStyle name="Migliaia 23 2 5" xfId="6834" xr:uid="{00000000-0005-0000-0000-0000F20A0000}"/>
    <cellStyle name="Migliaia 23 2 6" xfId="4912" xr:uid="{00000000-0005-0000-0000-0000F30A0000}"/>
    <cellStyle name="Migliaia 23 3" xfId="1050" xr:uid="{00000000-0005-0000-0000-0000F40A0000}"/>
    <cellStyle name="Migliaia 23 3 2" xfId="1051" xr:uid="{00000000-0005-0000-0000-0000F50A0000}"/>
    <cellStyle name="Migliaia 23 3 2 2" xfId="3755" xr:uid="{00000000-0005-0000-0000-0000F60A0000}"/>
    <cellStyle name="Migliaia 23 3 2 2 2" xfId="5893" xr:uid="{00000000-0005-0000-0000-0000F70A0000}"/>
    <cellStyle name="Migliaia 23 3 2 2 3" xfId="6838" xr:uid="{00000000-0005-0000-0000-0000F80A0000}"/>
    <cellStyle name="Migliaia 23 3 2 2 4" xfId="4916" xr:uid="{00000000-0005-0000-0000-0000F90A0000}"/>
    <cellStyle name="Migliaia 23 3 2 3" xfId="3756" xr:uid="{00000000-0005-0000-0000-0000FA0A0000}"/>
    <cellStyle name="Migliaia 23 3 2 4" xfId="5892" xr:uid="{00000000-0005-0000-0000-0000FB0A0000}"/>
    <cellStyle name="Migliaia 23 3 2 5" xfId="6837" xr:uid="{00000000-0005-0000-0000-0000FC0A0000}"/>
    <cellStyle name="Migliaia 23 3 2 6" xfId="4915" xr:uid="{00000000-0005-0000-0000-0000FD0A0000}"/>
    <cellStyle name="Migliaia 23 3 3" xfId="1052" xr:uid="{00000000-0005-0000-0000-0000FE0A0000}"/>
    <cellStyle name="Migliaia 23 3 3 2" xfId="2389" xr:uid="{00000000-0005-0000-0000-0000FF0A0000}"/>
    <cellStyle name="Migliaia 23 3 4" xfId="2388" xr:uid="{00000000-0005-0000-0000-0000000B0000}"/>
    <cellStyle name="Migliaia 23 3 5" xfId="3757" xr:uid="{00000000-0005-0000-0000-0000010B0000}"/>
    <cellStyle name="Migliaia 23 3 6" xfId="5891" xr:uid="{00000000-0005-0000-0000-0000020B0000}"/>
    <cellStyle name="Migliaia 23 3 7" xfId="6836" xr:uid="{00000000-0005-0000-0000-0000030B0000}"/>
    <cellStyle name="Migliaia 23 3 8" xfId="4914" xr:uid="{00000000-0005-0000-0000-0000040B0000}"/>
    <cellStyle name="Migliaia 23 4" xfId="1053" xr:uid="{00000000-0005-0000-0000-0000050B0000}"/>
    <cellStyle name="Migliaia 23 4 2" xfId="1054" xr:uid="{00000000-0005-0000-0000-0000060B0000}"/>
    <cellStyle name="Migliaia 23 4 2 2" xfId="2391" xr:uid="{00000000-0005-0000-0000-0000070B0000}"/>
    <cellStyle name="Migliaia 23 4 2 3" xfId="3758" xr:uid="{00000000-0005-0000-0000-0000080B0000}"/>
    <cellStyle name="Migliaia 23 4 2 4" xfId="5895" xr:uid="{00000000-0005-0000-0000-0000090B0000}"/>
    <cellStyle name="Migliaia 23 4 2 5" xfId="6840" xr:uid="{00000000-0005-0000-0000-00000A0B0000}"/>
    <cellStyle name="Migliaia 23 4 2 6" xfId="4918" xr:uid="{00000000-0005-0000-0000-00000B0B0000}"/>
    <cellStyle name="Migliaia 23 4 3" xfId="2390" xr:uid="{00000000-0005-0000-0000-00000C0B0000}"/>
    <cellStyle name="Migliaia 23 4 4" xfId="3759" xr:uid="{00000000-0005-0000-0000-00000D0B0000}"/>
    <cellStyle name="Migliaia 23 4 5" xfId="5894" xr:uid="{00000000-0005-0000-0000-00000E0B0000}"/>
    <cellStyle name="Migliaia 23 4 6" xfId="6839" xr:uid="{00000000-0005-0000-0000-00000F0B0000}"/>
    <cellStyle name="Migliaia 23 4 7" xfId="4917" xr:uid="{00000000-0005-0000-0000-0000100B0000}"/>
    <cellStyle name="Migliaia 23 5" xfId="1055" xr:uid="{00000000-0005-0000-0000-0000110B0000}"/>
    <cellStyle name="Migliaia 23 5 2" xfId="3760" xr:uid="{00000000-0005-0000-0000-0000120B0000}"/>
    <cellStyle name="Migliaia 23 5 3" xfId="5896" xr:uid="{00000000-0005-0000-0000-0000130B0000}"/>
    <cellStyle name="Migliaia 23 5 4" xfId="6841" xr:uid="{00000000-0005-0000-0000-0000140B0000}"/>
    <cellStyle name="Migliaia 23 5 5" xfId="4919" xr:uid="{00000000-0005-0000-0000-0000150B0000}"/>
    <cellStyle name="Migliaia 23 6" xfId="3761" xr:uid="{00000000-0005-0000-0000-0000160B0000}"/>
    <cellStyle name="Migliaia 23 7" xfId="5888" xr:uid="{00000000-0005-0000-0000-0000170B0000}"/>
    <cellStyle name="Migliaia 23 8" xfId="6833" xr:uid="{00000000-0005-0000-0000-0000180B0000}"/>
    <cellStyle name="Migliaia 23 9" xfId="4911" xr:uid="{00000000-0005-0000-0000-0000190B0000}"/>
    <cellStyle name="Migliaia 24" xfId="161" xr:uid="{00000000-0005-0000-0000-00001A0B0000}"/>
    <cellStyle name="Migliaia 24 2" xfId="503" xr:uid="{00000000-0005-0000-0000-00001B0B0000}"/>
    <cellStyle name="Migliaia 24 2 2" xfId="2392" xr:uid="{00000000-0005-0000-0000-00001C0B0000}"/>
    <cellStyle name="Migliaia 24 2 2 2" xfId="3762" xr:uid="{00000000-0005-0000-0000-00001D0B0000}"/>
    <cellStyle name="Migliaia 24 2 2 3" xfId="5899" xr:uid="{00000000-0005-0000-0000-00001E0B0000}"/>
    <cellStyle name="Migliaia 24 2 2 4" xfId="6844" xr:uid="{00000000-0005-0000-0000-00001F0B0000}"/>
    <cellStyle name="Migliaia 24 2 2 5" xfId="4922" xr:uid="{00000000-0005-0000-0000-0000200B0000}"/>
    <cellStyle name="Migliaia 24 2 3" xfId="3763" xr:uid="{00000000-0005-0000-0000-0000210B0000}"/>
    <cellStyle name="Migliaia 24 2 4" xfId="5898" xr:uid="{00000000-0005-0000-0000-0000220B0000}"/>
    <cellStyle name="Migliaia 24 2 5" xfId="6843" xr:uid="{00000000-0005-0000-0000-0000230B0000}"/>
    <cellStyle name="Migliaia 24 2 6" xfId="4921" xr:uid="{00000000-0005-0000-0000-0000240B0000}"/>
    <cellStyle name="Migliaia 24 3" xfId="1056" xr:uid="{00000000-0005-0000-0000-0000250B0000}"/>
    <cellStyle name="Migliaia 24 3 2" xfId="1057" xr:uid="{00000000-0005-0000-0000-0000260B0000}"/>
    <cellStyle name="Migliaia 24 3 2 2" xfId="3764" xr:uid="{00000000-0005-0000-0000-0000270B0000}"/>
    <cellStyle name="Migliaia 24 3 2 2 2" xfId="5902" xr:uid="{00000000-0005-0000-0000-0000280B0000}"/>
    <cellStyle name="Migliaia 24 3 2 2 3" xfId="6847" xr:uid="{00000000-0005-0000-0000-0000290B0000}"/>
    <cellStyle name="Migliaia 24 3 2 2 4" xfId="4925" xr:uid="{00000000-0005-0000-0000-00002A0B0000}"/>
    <cellStyle name="Migliaia 24 3 2 3" xfId="3765" xr:uid="{00000000-0005-0000-0000-00002B0B0000}"/>
    <cellStyle name="Migliaia 24 3 2 4" xfId="5901" xr:uid="{00000000-0005-0000-0000-00002C0B0000}"/>
    <cellStyle name="Migliaia 24 3 2 5" xfId="6846" xr:uid="{00000000-0005-0000-0000-00002D0B0000}"/>
    <cellStyle name="Migliaia 24 3 2 6" xfId="4924" xr:uid="{00000000-0005-0000-0000-00002E0B0000}"/>
    <cellStyle name="Migliaia 24 3 3" xfId="1058" xr:uid="{00000000-0005-0000-0000-00002F0B0000}"/>
    <cellStyle name="Migliaia 24 3 3 2" xfId="2394" xr:uid="{00000000-0005-0000-0000-0000300B0000}"/>
    <cellStyle name="Migliaia 24 3 4" xfId="2393" xr:uid="{00000000-0005-0000-0000-0000310B0000}"/>
    <cellStyle name="Migliaia 24 3 5" xfId="3766" xr:uid="{00000000-0005-0000-0000-0000320B0000}"/>
    <cellStyle name="Migliaia 24 3 6" xfId="5900" xr:uid="{00000000-0005-0000-0000-0000330B0000}"/>
    <cellStyle name="Migliaia 24 3 7" xfId="6845" xr:uid="{00000000-0005-0000-0000-0000340B0000}"/>
    <cellStyle name="Migliaia 24 3 8" xfId="4923" xr:uid="{00000000-0005-0000-0000-0000350B0000}"/>
    <cellStyle name="Migliaia 24 4" xfId="1059" xr:uid="{00000000-0005-0000-0000-0000360B0000}"/>
    <cellStyle name="Migliaia 24 4 2" xfId="1060" xr:uid="{00000000-0005-0000-0000-0000370B0000}"/>
    <cellStyle name="Migliaia 24 4 2 2" xfId="2396" xr:uid="{00000000-0005-0000-0000-0000380B0000}"/>
    <cellStyle name="Migliaia 24 4 2 3" xfId="3767" xr:uid="{00000000-0005-0000-0000-0000390B0000}"/>
    <cellStyle name="Migliaia 24 4 2 4" xfId="5904" xr:uid="{00000000-0005-0000-0000-00003A0B0000}"/>
    <cellStyle name="Migliaia 24 4 2 5" xfId="6849" xr:uid="{00000000-0005-0000-0000-00003B0B0000}"/>
    <cellStyle name="Migliaia 24 4 2 6" xfId="4927" xr:uid="{00000000-0005-0000-0000-00003C0B0000}"/>
    <cellStyle name="Migliaia 24 4 3" xfId="2395" xr:uid="{00000000-0005-0000-0000-00003D0B0000}"/>
    <cellStyle name="Migliaia 24 4 4" xfId="3768" xr:uid="{00000000-0005-0000-0000-00003E0B0000}"/>
    <cellStyle name="Migliaia 24 4 5" xfId="5903" xr:uid="{00000000-0005-0000-0000-00003F0B0000}"/>
    <cellStyle name="Migliaia 24 4 6" xfId="6848" xr:uid="{00000000-0005-0000-0000-0000400B0000}"/>
    <cellStyle name="Migliaia 24 4 7" xfId="4926" xr:uid="{00000000-0005-0000-0000-0000410B0000}"/>
    <cellStyle name="Migliaia 24 5" xfId="1061" xr:uid="{00000000-0005-0000-0000-0000420B0000}"/>
    <cellStyle name="Migliaia 24 5 2" xfId="3769" xr:uid="{00000000-0005-0000-0000-0000430B0000}"/>
    <cellStyle name="Migliaia 24 5 3" xfId="5905" xr:uid="{00000000-0005-0000-0000-0000440B0000}"/>
    <cellStyle name="Migliaia 24 5 4" xfId="6850" xr:uid="{00000000-0005-0000-0000-0000450B0000}"/>
    <cellStyle name="Migliaia 24 5 5" xfId="4928" xr:uid="{00000000-0005-0000-0000-0000460B0000}"/>
    <cellStyle name="Migliaia 24 6" xfId="3770" xr:uid="{00000000-0005-0000-0000-0000470B0000}"/>
    <cellStyle name="Migliaia 24 7" xfId="5897" xr:uid="{00000000-0005-0000-0000-0000480B0000}"/>
    <cellStyle name="Migliaia 24 8" xfId="6842" xr:uid="{00000000-0005-0000-0000-0000490B0000}"/>
    <cellStyle name="Migliaia 24 9" xfId="4920" xr:uid="{00000000-0005-0000-0000-00004A0B0000}"/>
    <cellStyle name="Migliaia 25" xfId="162" xr:uid="{00000000-0005-0000-0000-00004B0B0000}"/>
    <cellStyle name="Migliaia 25 2" xfId="504" xr:uid="{00000000-0005-0000-0000-00004C0B0000}"/>
    <cellStyle name="Migliaia 25 2 2" xfId="2397" xr:uid="{00000000-0005-0000-0000-00004D0B0000}"/>
    <cellStyle name="Migliaia 25 2 2 2" xfId="3771" xr:uid="{00000000-0005-0000-0000-00004E0B0000}"/>
    <cellStyle name="Migliaia 25 2 2 3" xfId="5908" xr:uid="{00000000-0005-0000-0000-00004F0B0000}"/>
    <cellStyle name="Migliaia 25 2 2 4" xfId="6853" xr:uid="{00000000-0005-0000-0000-0000500B0000}"/>
    <cellStyle name="Migliaia 25 2 2 5" xfId="4931" xr:uid="{00000000-0005-0000-0000-0000510B0000}"/>
    <cellStyle name="Migliaia 25 2 3" xfId="3772" xr:uid="{00000000-0005-0000-0000-0000520B0000}"/>
    <cellStyle name="Migliaia 25 2 4" xfId="5907" xr:uid="{00000000-0005-0000-0000-0000530B0000}"/>
    <cellStyle name="Migliaia 25 2 5" xfId="6852" xr:uid="{00000000-0005-0000-0000-0000540B0000}"/>
    <cellStyle name="Migliaia 25 2 6" xfId="4930" xr:uid="{00000000-0005-0000-0000-0000550B0000}"/>
    <cellStyle name="Migliaia 25 3" xfId="1062" xr:uid="{00000000-0005-0000-0000-0000560B0000}"/>
    <cellStyle name="Migliaia 25 3 2" xfId="1063" xr:uid="{00000000-0005-0000-0000-0000570B0000}"/>
    <cellStyle name="Migliaia 25 3 2 2" xfId="3773" xr:uid="{00000000-0005-0000-0000-0000580B0000}"/>
    <cellStyle name="Migliaia 25 3 2 2 2" xfId="5911" xr:uid="{00000000-0005-0000-0000-0000590B0000}"/>
    <cellStyle name="Migliaia 25 3 2 2 3" xfId="6856" xr:uid="{00000000-0005-0000-0000-00005A0B0000}"/>
    <cellStyle name="Migliaia 25 3 2 2 4" xfId="4934" xr:uid="{00000000-0005-0000-0000-00005B0B0000}"/>
    <cellStyle name="Migliaia 25 3 2 3" xfId="3774" xr:uid="{00000000-0005-0000-0000-00005C0B0000}"/>
    <cellStyle name="Migliaia 25 3 2 4" xfId="5910" xr:uid="{00000000-0005-0000-0000-00005D0B0000}"/>
    <cellStyle name="Migliaia 25 3 2 5" xfId="6855" xr:uid="{00000000-0005-0000-0000-00005E0B0000}"/>
    <cellStyle name="Migliaia 25 3 2 6" xfId="4933" xr:uid="{00000000-0005-0000-0000-00005F0B0000}"/>
    <cellStyle name="Migliaia 25 3 3" xfId="1064" xr:uid="{00000000-0005-0000-0000-0000600B0000}"/>
    <cellStyle name="Migliaia 25 3 3 2" xfId="2399" xr:uid="{00000000-0005-0000-0000-0000610B0000}"/>
    <cellStyle name="Migliaia 25 3 4" xfId="2398" xr:uid="{00000000-0005-0000-0000-0000620B0000}"/>
    <cellStyle name="Migliaia 25 3 5" xfId="3775" xr:uid="{00000000-0005-0000-0000-0000630B0000}"/>
    <cellStyle name="Migliaia 25 3 6" xfId="5909" xr:uid="{00000000-0005-0000-0000-0000640B0000}"/>
    <cellStyle name="Migliaia 25 3 7" xfId="6854" xr:uid="{00000000-0005-0000-0000-0000650B0000}"/>
    <cellStyle name="Migliaia 25 3 8" xfId="4932" xr:uid="{00000000-0005-0000-0000-0000660B0000}"/>
    <cellStyle name="Migliaia 25 4" xfId="1065" xr:uid="{00000000-0005-0000-0000-0000670B0000}"/>
    <cellStyle name="Migliaia 25 4 2" xfId="1066" xr:uid="{00000000-0005-0000-0000-0000680B0000}"/>
    <cellStyle name="Migliaia 25 4 2 2" xfId="2401" xr:uid="{00000000-0005-0000-0000-0000690B0000}"/>
    <cellStyle name="Migliaia 25 4 2 3" xfId="3776" xr:uid="{00000000-0005-0000-0000-00006A0B0000}"/>
    <cellStyle name="Migliaia 25 4 2 4" xfId="5913" xr:uid="{00000000-0005-0000-0000-00006B0B0000}"/>
    <cellStyle name="Migliaia 25 4 2 5" xfId="6858" xr:uid="{00000000-0005-0000-0000-00006C0B0000}"/>
    <cellStyle name="Migliaia 25 4 2 6" xfId="4936" xr:uid="{00000000-0005-0000-0000-00006D0B0000}"/>
    <cellStyle name="Migliaia 25 4 3" xfId="2400" xr:uid="{00000000-0005-0000-0000-00006E0B0000}"/>
    <cellStyle name="Migliaia 25 4 4" xfId="3777" xr:uid="{00000000-0005-0000-0000-00006F0B0000}"/>
    <cellStyle name="Migliaia 25 4 5" xfId="5912" xr:uid="{00000000-0005-0000-0000-0000700B0000}"/>
    <cellStyle name="Migliaia 25 4 6" xfId="6857" xr:uid="{00000000-0005-0000-0000-0000710B0000}"/>
    <cellStyle name="Migliaia 25 4 7" xfId="4935" xr:uid="{00000000-0005-0000-0000-0000720B0000}"/>
    <cellStyle name="Migliaia 25 5" xfId="1067" xr:uid="{00000000-0005-0000-0000-0000730B0000}"/>
    <cellStyle name="Migliaia 25 5 2" xfId="3778" xr:uid="{00000000-0005-0000-0000-0000740B0000}"/>
    <cellStyle name="Migliaia 25 5 3" xfId="5914" xr:uid="{00000000-0005-0000-0000-0000750B0000}"/>
    <cellStyle name="Migliaia 25 5 4" xfId="6859" xr:uid="{00000000-0005-0000-0000-0000760B0000}"/>
    <cellStyle name="Migliaia 25 5 5" xfId="4937" xr:uid="{00000000-0005-0000-0000-0000770B0000}"/>
    <cellStyle name="Migliaia 25 6" xfId="3779" xr:uid="{00000000-0005-0000-0000-0000780B0000}"/>
    <cellStyle name="Migliaia 25 7" xfId="5906" xr:uid="{00000000-0005-0000-0000-0000790B0000}"/>
    <cellStyle name="Migliaia 25 8" xfId="6851" xr:uid="{00000000-0005-0000-0000-00007A0B0000}"/>
    <cellStyle name="Migliaia 25 9" xfId="4929" xr:uid="{00000000-0005-0000-0000-00007B0B0000}"/>
    <cellStyle name="Migliaia 26" xfId="163" xr:uid="{00000000-0005-0000-0000-00007C0B0000}"/>
    <cellStyle name="Migliaia 26 2" xfId="505" xr:uid="{00000000-0005-0000-0000-00007D0B0000}"/>
    <cellStyle name="Migliaia 26 2 2" xfId="2402" xr:uid="{00000000-0005-0000-0000-00007E0B0000}"/>
    <cellStyle name="Migliaia 26 2 2 2" xfId="3780" xr:uid="{00000000-0005-0000-0000-00007F0B0000}"/>
    <cellStyle name="Migliaia 26 2 2 3" xfId="5917" xr:uid="{00000000-0005-0000-0000-0000800B0000}"/>
    <cellStyle name="Migliaia 26 2 2 4" xfId="6862" xr:uid="{00000000-0005-0000-0000-0000810B0000}"/>
    <cellStyle name="Migliaia 26 2 2 5" xfId="4940" xr:uid="{00000000-0005-0000-0000-0000820B0000}"/>
    <cellStyle name="Migliaia 26 2 3" xfId="3781" xr:uid="{00000000-0005-0000-0000-0000830B0000}"/>
    <cellStyle name="Migliaia 26 2 4" xfId="5916" xr:uid="{00000000-0005-0000-0000-0000840B0000}"/>
    <cellStyle name="Migliaia 26 2 5" xfId="6861" xr:uid="{00000000-0005-0000-0000-0000850B0000}"/>
    <cellStyle name="Migliaia 26 2 6" xfId="4939" xr:uid="{00000000-0005-0000-0000-0000860B0000}"/>
    <cellStyle name="Migliaia 26 3" xfId="1068" xr:uid="{00000000-0005-0000-0000-0000870B0000}"/>
    <cellStyle name="Migliaia 26 3 2" xfId="1069" xr:uid="{00000000-0005-0000-0000-0000880B0000}"/>
    <cellStyle name="Migliaia 26 3 2 2" xfId="3782" xr:uid="{00000000-0005-0000-0000-0000890B0000}"/>
    <cellStyle name="Migliaia 26 3 2 2 2" xfId="5920" xr:uid="{00000000-0005-0000-0000-00008A0B0000}"/>
    <cellStyle name="Migliaia 26 3 2 2 3" xfId="6865" xr:uid="{00000000-0005-0000-0000-00008B0B0000}"/>
    <cellStyle name="Migliaia 26 3 2 2 4" xfId="4943" xr:uid="{00000000-0005-0000-0000-00008C0B0000}"/>
    <cellStyle name="Migliaia 26 3 2 3" xfId="3783" xr:uid="{00000000-0005-0000-0000-00008D0B0000}"/>
    <cellStyle name="Migliaia 26 3 2 4" xfId="5919" xr:uid="{00000000-0005-0000-0000-00008E0B0000}"/>
    <cellStyle name="Migliaia 26 3 2 5" xfId="6864" xr:uid="{00000000-0005-0000-0000-00008F0B0000}"/>
    <cellStyle name="Migliaia 26 3 2 6" xfId="4942" xr:uid="{00000000-0005-0000-0000-0000900B0000}"/>
    <cellStyle name="Migliaia 26 3 3" xfId="1070" xr:uid="{00000000-0005-0000-0000-0000910B0000}"/>
    <cellStyle name="Migliaia 26 3 3 2" xfId="2404" xr:uid="{00000000-0005-0000-0000-0000920B0000}"/>
    <cellStyle name="Migliaia 26 3 4" xfId="2403" xr:uid="{00000000-0005-0000-0000-0000930B0000}"/>
    <cellStyle name="Migliaia 26 3 5" xfId="3784" xr:uid="{00000000-0005-0000-0000-0000940B0000}"/>
    <cellStyle name="Migliaia 26 3 6" xfId="5918" xr:uid="{00000000-0005-0000-0000-0000950B0000}"/>
    <cellStyle name="Migliaia 26 3 7" xfId="6863" xr:uid="{00000000-0005-0000-0000-0000960B0000}"/>
    <cellStyle name="Migliaia 26 3 8" xfId="4941" xr:uid="{00000000-0005-0000-0000-0000970B0000}"/>
    <cellStyle name="Migliaia 26 4" xfId="1071" xr:uid="{00000000-0005-0000-0000-0000980B0000}"/>
    <cellStyle name="Migliaia 26 4 2" xfId="1072" xr:uid="{00000000-0005-0000-0000-0000990B0000}"/>
    <cellStyle name="Migliaia 26 4 2 2" xfId="2406" xr:uid="{00000000-0005-0000-0000-00009A0B0000}"/>
    <cellStyle name="Migliaia 26 4 2 3" xfId="3785" xr:uid="{00000000-0005-0000-0000-00009B0B0000}"/>
    <cellStyle name="Migliaia 26 4 2 4" xfId="5922" xr:uid="{00000000-0005-0000-0000-00009C0B0000}"/>
    <cellStyle name="Migliaia 26 4 2 5" xfId="6867" xr:uid="{00000000-0005-0000-0000-00009D0B0000}"/>
    <cellStyle name="Migliaia 26 4 2 6" xfId="4945" xr:uid="{00000000-0005-0000-0000-00009E0B0000}"/>
    <cellStyle name="Migliaia 26 4 3" xfId="2405" xr:uid="{00000000-0005-0000-0000-00009F0B0000}"/>
    <cellStyle name="Migliaia 26 4 4" xfId="3786" xr:uid="{00000000-0005-0000-0000-0000A00B0000}"/>
    <cellStyle name="Migliaia 26 4 5" xfId="5921" xr:uid="{00000000-0005-0000-0000-0000A10B0000}"/>
    <cellStyle name="Migliaia 26 4 6" xfId="6866" xr:uid="{00000000-0005-0000-0000-0000A20B0000}"/>
    <cellStyle name="Migliaia 26 4 7" xfId="4944" xr:uid="{00000000-0005-0000-0000-0000A30B0000}"/>
    <cellStyle name="Migliaia 26 5" xfId="1073" xr:uid="{00000000-0005-0000-0000-0000A40B0000}"/>
    <cellStyle name="Migliaia 26 5 2" xfId="3787" xr:uid="{00000000-0005-0000-0000-0000A50B0000}"/>
    <cellStyle name="Migliaia 26 5 3" xfId="5923" xr:uid="{00000000-0005-0000-0000-0000A60B0000}"/>
    <cellStyle name="Migliaia 26 5 4" xfId="6868" xr:uid="{00000000-0005-0000-0000-0000A70B0000}"/>
    <cellStyle name="Migliaia 26 5 5" xfId="4946" xr:uid="{00000000-0005-0000-0000-0000A80B0000}"/>
    <cellStyle name="Migliaia 26 6" xfId="3788" xr:uid="{00000000-0005-0000-0000-0000A90B0000}"/>
    <cellStyle name="Migliaia 26 7" xfId="5915" xr:uid="{00000000-0005-0000-0000-0000AA0B0000}"/>
    <cellStyle name="Migliaia 26 8" xfId="6860" xr:uid="{00000000-0005-0000-0000-0000AB0B0000}"/>
    <cellStyle name="Migliaia 26 9" xfId="4938" xr:uid="{00000000-0005-0000-0000-0000AC0B0000}"/>
    <cellStyle name="Migliaia 27" xfId="164" xr:uid="{00000000-0005-0000-0000-0000AD0B0000}"/>
    <cellStyle name="Migliaia 27 2" xfId="506" xr:uid="{00000000-0005-0000-0000-0000AE0B0000}"/>
    <cellStyle name="Migliaia 27 2 2" xfId="2407" xr:uid="{00000000-0005-0000-0000-0000AF0B0000}"/>
    <cellStyle name="Migliaia 27 2 2 2" xfId="3789" xr:uid="{00000000-0005-0000-0000-0000B00B0000}"/>
    <cellStyle name="Migliaia 27 2 2 3" xfId="5926" xr:uid="{00000000-0005-0000-0000-0000B10B0000}"/>
    <cellStyle name="Migliaia 27 2 2 4" xfId="6871" xr:uid="{00000000-0005-0000-0000-0000B20B0000}"/>
    <cellStyle name="Migliaia 27 2 2 5" xfId="4949" xr:uid="{00000000-0005-0000-0000-0000B30B0000}"/>
    <cellStyle name="Migliaia 27 2 3" xfId="3790" xr:uid="{00000000-0005-0000-0000-0000B40B0000}"/>
    <cellStyle name="Migliaia 27 2 4" xfId="5925" xr:uid="{00000000-0005-0000-0000-0000B50B0000}"/>
    <cellStyle name="Migliaia 27 2 5" xfId="6870" xr:uid="{00000000-0005-0000-0000-0000B60B0000}"/>
    <cellStyle name="Migliaia 27 2 6" xfId="4948" xr:uid="{00000000-0005-0000-0000-0000B70B0000}"/>
    <cellStyle name="Migliaia 27 3" xfId="1074" xr:uid="{00000000-0005-0000-0000-0000B80B0000}"/>
    <cellStyle name="Migliaia 27 3 2" xfId="1075" xr:uid="{00000000-0005-0000-0000-0000B90B0000}"/>
    <cellStyle name="Migliaia 27 3 2 2" xfId="3791" xr:uid="{00000000-0005-0000-0000-0000BA0B0000}"/>
    <cellStyle name="Migliaia 27 3 2 2 2" xfId="5929" xr:uid="{00000000-0005-0000-0000-0000BB0B0000}"/>
    <cellStyle name="Migliaia 27 3 2 2 3" xfId="6874" xr:uid="{00000000-0005-0000-0000-0000BC0B0000}"/>
    <cellStyle name="Migliaia 27 3 2 2 4" xfId="4952" xr:uid="{00000000-0005-0000-0000-0000BD0B0000}"/>
    <cellStyle name="Migliaia 27 3 2 3" xfId="3792" xr:uid="{00000000-0005-0000-0000-0000BE0B0000}"/>
    <cellStyle name="Migliaia 27 3 2 4" xfId="5928" xr:uid="{00000000-0005-0000-0000-0000BF0B0000}"/>
    <cellStyle name="Migliaia 27 3 2 5" xfId="6873" xr:uid="{00000000-0005-0000-0000-0000C00B0000}"/>
    <cellStyle name="Migliaia 27 3 2 6" xfId="4951" xr:uid="{00000000-0005-0000-0000-0000C10B0000}"/>
    <cellStyle name="Migliaia 27 3 3" xfId="1076" xr:uid="{00000000-0005-0000-0000-0000C20B0000}"/>
    <cellStyle name="Migliaia 27 3 3 2" xfId="2409" xr:uid="{00000000-0005-0000-0000-0000C30B0000}"/>
    <cellStyle name="Migliaia 27 3 4" xfId="2408" xr:uid="{00000000-0005-0000-0000-0000C40B0000}"/>
    <cellStyle name="Migliaia 27 3 5" xfId="3793" xr:uid="{00000000-0005-0000-0000-0000C50B0000}"/>
    <cellStyle name="Migliaia 27 3 6" xfId="5927" xr:uid="{00000000-0005-0000-0000-0000C60B0000}"/>
    <cellStyle name="Migliaia 27 3 7" xfId="6872" xr:uid="{00000000-0005-0000-0000-0000C70B0000}"/>
    <cellStyle name="Migliaia 27 3 8" xfId="4950" xr:uid="{00000000-0005-0000-0000-0000C80B0000}"/>
    <cellStyle name="Migliaia 27 4" xfId="1077" xr:uid="{00000000-0005-0000-0000-0000C90B0000}"/>
    <cellStyle name="Migliaia 27 4 2" xfId="1078" xr:uid="{00000000-0005-0000-0000-0000CA0B0000}"/>
    <cellStyle name="Migliaia 27 4 2 2" xfId="2411" xr:uid="{00000000-0005-0000-0000-0000CB0B0000}"/>
    <cellStyle name="Migliaia 27 4 2 3" xfId="3794" xr:uid="{00000000-0005-0000-0000-0000CC0B0000}"/>
    <cellStyle name="Migliaia 27 4 2 4" xfId="5931" xr:uid="{00000000-0005-0000-0000-0000CD0B0000}"/>
    <cellStyle name="Migliaia 27 4 2 5" xfId="6876" xr:uid="{00000000-0005-0000-0000-0000CE0B0000}"/>
    <cellStyle name="Migliaia 27 4 2 6" xfId="4954" xr:uid="{00000000-0005-0000-0000-0000CF0B0000}"/>
    <cellStyle name="Migliaia 27 4 3" xfId="2410" xr:uid="{00000000-0005-0000-0000-0000D00B0000}"/>
    <cellStyle name="Migliaia 27 4 4" xfId="3795" xr:uid="{00000000-0005-0000-0000-0000D10B0000}"/>
    <cellStyle name="Migliaia 27 4 5" xfId="5930" xr:uid="{00000000-0005-0000-0000-0000D20B0000}"/>
    <cellStyle name="Migliaia 27 4 6" xfId="6875" xr:uid="{00000000-0005-0000-0000-0000D30B0000}"/>
    <cellStyle name="Migliaia 27 4 7" xfId="4953" xr:uid="{00000000-0005-0000-0000-0000D40B0000}"/>
    <cellStyle name="Migliaia 27 5" xfId="1079" xr:uid="{00000000-0005-0000-0000-0000D50B0000}"/>
    <cellStyle name="Migliaia 27 5 2" xfId="3796" xr:uid="{00000000-0005-0000-0000-0000D60B0000}"/>
    <cellStyle name="Migliaia 27 5 3" xfId="5932" xr:uid="{00000000-0005-0000-0000-0000D70B0000}"/>
    <cellStyle name="Migliaia 27 5 4" xfId="6877" xr:uid="{00000000-0005-0000-0000-0000D80B0000}"/>
    <cellStyle name="Migliaia 27 5 5" xfId="4955" xr:uid="{00000000-0005-0000-0000-0000D90B0000}"/>
    <cellStyle name="Migliaia 27 6" xfId="3797" xr:uid="{00000000-0005-0000-0000-0000DA0B0000}"/>
    <cellStyle name="Migliaia 27 7" xfId="5924" xr:uid="{00000000-0005-0000-0000-0000DB0B0000}"/>
    <cellStyle name="Migliaia 27 8" xfId="6869" xr:uid="{00000000-0005-0000-0000-0000DC0B0000}"/>
    <cellStyle name="Migliaia 27 9" xfId="4947" xr:uid="{00000000-0005-0000-0000-0000DD0B0000}"/>
    <cellStyle name="Migliaia 28" xfId="165" xr:uid="{00000000-0005-0000-0000-0000DE0B0000}"/>
    <cellStyle name="Migliaia 28 2" xfId="507" xr:uid="{00000000-0005-0000-0000-0000DF0B0000}"/>
    <cellStyle name="Migliaia 28 2 2" xfId="2412" xr:uid="{00000000-0005-0000-0000-0000E00B0000}"/>
    <cellStyle name="Migliaia 28 2 2 2" xfId="3798" xr:uid="{00000000-0005-0000-0000-0000E10B0000}"/>
    <cellStyle name="Migliaia 28 2 2 3" xfId="5935" xr:uid="{00000000-0005-0000-0000-0000E20B0000}"/>
    <cellStyle name="Migliaia 28 2 2 4" xfId="6880" xr:uid="{00000000-0005-0000-0000-0000E30B0000}"/>
    <cellStyle name="Migliaia 28 2 2 5" xfId="4958" xr:uid="{00000000-0005-0000-0000-0000E40B0000}"/>
    <cellStyle name="Migliaia 28 2 3" xfId="3799" xr:uid="{00000000-0005-0000-0000-0000E50B0000}"/>
    <cellStyle name="Migliaia 28 2 4" xfId="5934" xr:uid="{00000000-0005-0000-0000-0000E60B0000}"/>
    <cellStyle name="Migliaia 28 2 5" xfId="6879" xr:uid="{00000000-0005-0000-0000-0000E70B0000}"/>
    <cellStyle name="Migliaia 28 2 6" xfId="4957" xr:uid="{00000000-0005-0000-0000-0000E80B0000}"/>
    <cellStyle name="Migliaia 28 3" xfId="1080" xr:uid="{00000000-0005-0000-0000-0000E90B0000}"/>
    <cellStyle name="Migliaia 28 3 2" xfId="1081" xr:uid="{00000000-0005-0000-0000-0000EA0B0000}"/>
    <cellStyle name="Migliaia 28 3 2 2" xfId="3800" xr:uid="{00000000-0005-0000-0000-0000EB0B0000}"/>
    <cellStyle name="Migliaia 28 3 2 2 2" xfId="5938" xr:uid="{00000000-0005-0000-0000-0000EC0B0000}"/>
    <cellStyle name="Migliaia 28 3 2 2 3" xfId="6883" xr:uid="{00000000-0005-0000-0000-0000ED0B0000}"/>
    <cellStyle name="Migliaia 28 3 2 2 4" xfId="4961" xr:uid="{00000000-0005-0000-0000-0000EE0B0000}"/>
    <cellStyle name="Migliaia 28 3 2 3" xfId="3801" xr:uid="{00000000-0005-0000-0000-0000EF0B0000}"/>
    <cellStyle name="Migliaia 28 3 2 4" xfId="5937" xr:uid="{00000000-0005-0000-0000-0000F00B0000}"/>
    <cellStyle name="Migliaia 28 3 2 5" xfId="6882" xr:uid="{00000000-0005-0000-0000-0000F10B0000}"/>
    <cellStyle name="Migliaia 28 3 2 6" xfId="4960" xr:uid="{00000000-0005-0000-0000-0000F20B0000}"/>
    <cellStyle name="Migliaia 28 3 3" xfId="1082" xr:uid="{00000000-0005-0000-0000-0000F30B0000}"/>
    <cellStyle name="Migliaia 28 3 3 2" xfId="2414" xr:uid="{00000000-0005-0000-0000-0000F40B0000}"/>
    <cellStyle name="Migliaia 28 3 4" xfId="2413" xr:uid="{00000000-0005-0000-0000-0000F50B0000}"/>
    <cellStyle name="Migliaia 28 3 5" xfId="3802" xr:uid="{00000000-0005-0000-0000-0000F60B0000}"/>
    <cellStyle name="Migliaia 28 3 6" xfId="5936" xr:uid="{00000000-0005-0000-0000-0000F70B0000}"/>
    <cellStyle name="Migliaia 28 3 7" xfId="6881" xr:uid="{00000000-0005-0000-0000-0000F80B0000}"/>
    <cellStyle name="Migliaia 28 3 8" xfId="4959" xr:uid="{00000000-0005-0000-0000-0000F90B0000}"/>
    <cellStyle name="Migliaia 28 4" xfId="1083" xr:uid="{00000000-0005-0000-0000-0000FA0B0000}"/>
    <cellStyle name="Migliaia 28 4 2" xfId="1084" xr:uid="{00000000-0005-0000-0000-0000FB0B0000}"/>
    <cellStyle name="Migliaia 28 4 2 2" xfId="2416" xr:uid="{00000000-0005-0000-0000-0000FC0B0000}"/>
    <cellStyle name="Migliaia 28 4 2 3" xfId="3803" xr:uid="{00000000-0005-0000-0000-0000FD0B0000}"/>
    <cellStyle name="Migliaia 28 4 2 4" xfId="5940" xr:uid="{00000000-0005-0000-0000-0000FE0B0000}"/>
    <cellStyle name="Migliaia 28 4 2 5" xfId="6885" xr:uid="{00000000-0005-0000-0000-0000FF0B0000}"/>
    <cellStyle name="Migliaia 28 4 2 6" xfId="4963" xr:uid="{00000000-0005-0000-0000-0000000C0000}"/>
    <cellStyle name="Migliaia 28 4 3" xfId="2415" xr:uid="{00000000-0005-0000-0000-0000010C0000}"/>
    <cellStyle name="Migliaia 28 4 4" xfId="3804" xr:uid="{00000000-0005-0000-0000-0000020C0000}"/>
    <cellStyle name="Migliaia 28 4 5" xfId="5939" xr:uid="{00000000-0005-0000-0000-0000030C0000}"/>
    <cellStyle name="Migliaia 28 4 6" xfId="6884" xr:uid="{00000000-0005-0000-0000-0000040C0000}"/>
    <cellStyle name="Migliaia 28 4 7" xfId="4962" xr:uid="{00000000-0005-0000-0000-0000050C0000}"/>
    <cellStyle name="Migliaia 28 5" xfId="1085" xr:uid="{00000000-0005-0000-0000-0000060C0000}"/>
    <cellStyle name="Migliaia 28 5 2" xfId="3805" xr:uid="{00000000-0005-0000-0000-0000070C0000}"/>
    <cellStyle name="Migliaia 28 5 3" xfId="5941" xr:uid="{00000000-0005-0000-0000-0000080C0000}"/>
    <cellStyle name="Migliaia 28 5 4" xfId="6886" xr:uid="{00000000-0005-0000-0000-0000090C0000}"/>
    <cellStyle name="Migliaia 28 5 5" xfId="4964" xr:uid="{00000000-0005-0000-0000-00000A0C0000}"/>
    <cellStyle name="Migliaia 28 6" xfId="3806" xr:uid="{00000000-0005-0000-0000-00000B0C0000}"/>
    <cellStyle name="Migliaia 28 7" xfId="5933" xr:uid="{00000000-0005-0000-0000-00000C0C0000}"/>
    <cellStyle name="Migliaia 28 8" xfId="6878" xr:uid="{00000000-0005-0000-0000-00000D0C0000}"/>
    <cellStyle name="Migliaia 28 9" xfId="4956" xr:uid="{00000000-0005-0000-0000-00000E0C0000}"/>
    <cellStyle name="Migliaia 29" xfId="166" xr:uid="{00000000-0005-0000-0000-00000F0C0000}"/>
    <cellStyle name="Migliaia 29 2" xfId="508" xr:uid="{00000000-0005-0000-0000-0000100C0000}"/>
    <cellStyle name="Migliaia 29 2 2" xfId="2417" xr:uid="{00000000-0005-0000-0000-0000110C0000}"/>
    <cellStyle name="Migliaia 29 2 2 2" xfId="3807" xr:uid="{00000000-0005-0000-0000-0000120C0000}"/>
    <cellStyle name="Migliaia 29 2 2 3" xfId="5944" xr:uid="{00000000-0005-0000-0000-0000130C0000}"/>
    <cellStyle name="Migliaia 29 2 2 4" xfId="6889" xr:uid="{00000000-0005-0000-0000-0000140C0000}"/>
    <cellStyle name="Migliaia 29 2 2 5" xfId="4967" xr:uid="{00000000-0005-0000-0000-0000150C0000}"/>
    <cellStyle name="Migliaia 29 2 3" xfId="3808" xr:uid="{00000000-0005-0000-0000-0000160C0000}"/>
    <cellStyle name="Migliaia 29 2 4" xfId="5943" xr:uid="{00000000-0005-0000-0000-0000170C0000}"/>
    <cellStyle name="Migliaia 29 2 5" xfId="6888" xr:uid="{00000000-0005-0000-0000-0000180C0000}"/>
    <cellStyle name="Migliaia 29 2 6" xfId="4966" xr:uid="{00000000-0005-0000-0000-0000190C0000}"/>
    <cellStyle name="Migliaia 29 3" xfId="1086" xr:uid="{00000000-0005-0000-0000-00001A0C0000}"/>
    <cellStyle name="Migliaia 29 3 2" xfId="1087" xr:uid="{00000000-0005-0000-0000-00001B0C0000}"/>
    <cellStyle name="Migliaia 29 3 2 2" xfId="3809" xr:uid="{00000000-0005-0000-0000-00001C0C0000}"/>
    <cellStyle name="Migliaia 29 3 2 2 2" xfId="5947" xr:uid="{00000000-0005-0000-0000-00001D0C0000}"/>
    <cellStyle name="Migliaia 29 3 2 2 3" xfId="6892" xr:uid="{00000000-0005-0000-0000-00001E0C0000}"/>
    <cellStyle name="Migliaia 29 3 2 2 4" xfId="4970" xr:uid="{00000000-0005-0000-0000-00001F0C0000}"/>
    <cellStyle name="Migliaia 29 3 2 3" xfId="3810" xr:uid="{00000000-0005-0000-0000-0000200C0000}"/>
    <cellStyle name="Migliaia 29 3 2 4" xfId="5946" xr:uid="{00000000-0005-0000-0000-0000210C0000}"/>
    <cellStyle name="Migliaia 29 3 2 5" xfId="6891" xr:uid="{00000000-0005-0000-0000-0000220C0000}"/>
    <cellStyle name="Migliaia 29 3 2 6" xfId="4969" xr:uid="{00000000-0005-0000-0000-0000230C0000}"/>
    <cellStyle name="Migliaia 29 3 3" xfId="1088" xr:uid="{00000000-0005-0000-0000-0000240C0000}"/>
    <cellStyle name="Migliaia 29 3 3 2" xfId="2419" xr:uid="{00000000-0005-0000-0000-0000250C0000}"/>
    <cellStyle name="Migliaia 29 3 4" xfId="2418" xr:uid="{00000000-0005-0000-0000-0000260C0000}"/>
    <cellStyle name="Migliaia 29 3 5" xfId="3811" xr:uid="{00000000-0005-0000-0000-0000270C0000}"/>
    <cellStyle name="Migliaia 29 3 6" xfId="5945" xr:uid="{00000000-0005-0000-0000-0000280C0000}"/>
    <cellStyle name="Migliaia 29 3 7" xfId="6890" xr:uid="{00000000-0005-0000-0000-0000290C0000}"/>
    <cellStyle name="Migliaia 29 3 8" xfId="4968" xr:uid="{00000000-0005-0000-0000-00002A0C0000}"/>
    <cellStyle name="Migliaia 29 4" xfId="1089" xr:uid="{00000000-0005-0000-0000-00002B0C0000}"/>
    <cellStyle name="Migliaia 29 4 2" xfId="1090" xr:uid="{00000000-0005-0000-0000-00002C0C0000}"/>
    <cellStyle name="Migliaia 29 4 2 2" xfId="2421" xr:uid="{00000000-0005-0000-0000-00002D0C0000}"/>
    <cellStyle name="Migliaia 29 4 2 3" xfId="3812" xr:uid="{00000000-0005-0000-0000-00002E0C0000}"/>
    <cellStyle name="Migliaia 29 4 2 4" xfId="5949" xr:uid="{00000000-0005-0000-0000-00002F0C0000}"/>
    <cellStyle name="Migliaia 29 4 2 5" xfId="6894" xr:uid="{00000000-0005-0000-0000-0000300C0000}"/>
    <cellStyle name="Migliaia 29 4 2 6" xfId="4972" xr:uid="{00000000-0005-0000-0000-0000310C0000}"/>
    <cellStyle name="Migliaia 29 4 3" xfId="2420" xr:uid="{00000000-0005-0000-0000-0000320C0000}"/>
    <cellStyle name="Migliaia 29 4 4" xfId="3813" xr:uid="{00000000-0005-0000-0000-0000330C0000}"/>
    <cellStyle name="Migliaia 29 4 5" xfId="5948" xr:uid="{00000000-0005-0000-0000-0000340C0000}"/>
    <cellStyle name="Migliaia 29 4 6" xfId="6893" xr:uid="{00000000-0005-0000-0000-0000350C0000}"/>
    <cellStyle name="Migliaia 29 4 7" xfId="4971" xr:uid="{00000000-0005-0000-0000-0000360C0000}"/>
    <cellStyle name="Migliaia 29 5" xfId="1091" xr:uid="{00000000-0005-0000-0000-0000370C0000}"/>
    <cellStyle name="Migliaia 29 5 2" xfId="3814" xr:uid="{00000000-0005-0000-0000-0000380C0000}"/>
    <cellStyle name="Migliaia 29 5 3" xfId="5950" xr:uid="{00000000-0005-0000-0000-0000390C0000}"/>
    <cellStyle name="Migliaia 29 5 4" xfId="6895" xr:uid="{00000000-0005-0000-0000-00003A0C0000}"/>
    <cellStyle name="Migliaia 29 5 5" xfId="4973" xr:uid="{00000000-0005-0000-0000-00003B0C0000}"/>
    <cellStyle name="Migliaia 29 6" xfId="3815" xr:uid="{00000000-0005-0000-0000-00003C0C0000}"/>
    <cellStyle name="Migliaia 29 7" xfId="5942" xr:uid="{00000000-0005-0000-0000-00003D0C0000}"/>
    <cellStyle name="Migliaia 29 8" xfId="6887" xr:uid="{00000000-0005-0000-0000-00003E0C0000}"/>
    <cellStyle name="Migliaia 29 9" xfId="4965" xr:uid="{00000000-0005-0000-0000-00003F0C0000}"/>
    <cellStyle name="Migliaia 3" xfId="167" xr:uid="{00000000-0005-0000-0000-0000400C0000}"/>
    <cellStyle name="Migliaia 3 2" xfId="509" xr:uid="{00000000-0005-0000-0000-0000410C0000}"/>
    <cellStyle name="Migliaia 3 2 2" xfId="2422" xr:uid="{00000000-0005-0000-0000-0000420C0000}"/>
    <cellStyle name="Migliaia 3 2 2 2" xfId="3816" xr:uid="{00000000-0005-0000-0000-0000430C0000}"/>
    <cellStyle name="Migliaia 3 2 2 3" xfId="5953" xr:uid="{00000000-0005-0000-0000-0000440C0000}"/>
    <cellStyle name="Migliaia 3 2 2 4" xfId="6898" xr:uid="{00000000-0005-0000-0000-0000450C0000}"/>
    <cellStyle name="Migliaia 3 2 2 5" xfId="4976" xr:uid="{00000000-0005-0000-0000-0000460C0000}"/>
    <cellStyle name="Migliaia 3 2 3" xfId="3817" xr:uid="{00000000-0005-0000-0000-0000470C0000}"/>
    <cellStyle name="Migliaia 3 2 4" xfId="5952" xr:uid="{00000000-0005-0000-0000-0000480C0000}"/>
    <cellStyle name="Migliaia 3 2 5" xfId="6897" xr:uid="{00000000-0005-0000-0000-0000490C0000}"/>
    <cellStyle name="Migliaia 3 2 6" xfId="4975" xr:uid="{00000000-0005-0000-0000-00004A0C0000}"/>
    <cellStyle name="Migliaia 3 3" xfId="1092" xr:uid="{00000000-0005-0000-0000-00004B0C0000}"/>
    <cellStyle name="Migliaia 3 3 2" xfId="1093" xr:uid="{00000000-0005-0000-0000-00004C0C0000}"/>
    <cellStyle name="Migliaia 3 3 2 2" xfId="3818" xr:uid="{00000000-0005-0000-0000-00004D0C0000}"/>
    <cellStyle name="Migliaia 3 3 2 2 2" xfId="5956" xr:uid="{00000000-0005-0000-0000-00004E0C0000}"/>
    <cellStyle name="Migliaia 3 3 2 2 3" xfId="6901" xr:uid="{00000000-0005-0000-0000-00004F0C0000}"/>
    <cellStyle name="Migliaia 3 3 2 2 4" xfId="4979" xr:uid="{00000000-0005-0000-0000-0000500C0000}"/>
    <cellStyle name="Migliaia 3 3 2 3" xfId="3819" xr:uid="{00000000-0005-0000-0000-0000510C0000}"/>
    <cellStyle name="Migliaia 3 3 2 4" xfId="5955" xr:uid="{00000000-0005-0000-0000-0000520C0000}"/>
    <cellStyle name="Migliaia 3 3 2 5" xfId="6900" xr:uid="{00000000-0005-0000-0000-0000530C0000}"/>
    <cellStyle name="Migliaia 3 3 2 6" xfId="4978" xr:uid="{00000000-0005-0000-0000-0000540C0000}"/>
    <cellStyle name="Migliaia 3 3 3" xfId="1094" xr:uid="{00000000-0005-0000-0000-0000550C0000}"/>
    <cellStyle name="Migliaia 3 3 3 2" xfId="2424" xr:uid="{00000000-0005-0000-0000-0000560C0000}"/>
    <cellStyle name="Migliaia 3 3 4" xfId="2423" xr:uid="{00000000-0005-0000-0000-0000570C0000}"/>
    <cellStyle name="Migliaia 3 3 5" xfId="3820" xr:uid="{00000000-0005-0000-0000-0000580C0000}"/>
    <cellStyle name="Migliaia 3 3 6" xfId="5954" xr:uid="{00000000-0005-0000-0000-0000590C0000}"/>
    <cellStyle name="Migliaia 3 3 7" xfId="6899" xr:uid="{00000000-0005-0000-0000-00005A0C0000}"/>
    <cellStyle name="Migliaia 3 3 8" xfId="4977" xr:uid="{00000000-0005-0000-0000-00005B0C0000}"/>
    <cellStyle name="Migliaia 3 4" xfId="1095" xr:uid="{00000000-0005-0000-0000-00005C0C0000}"/>
    <cellStyle name="Migliaia 3 4 2" xfId="1096" xr:uid="{00000000-0005-0000-0000-00005D0C0000}"/>
    <cellStyle name="Migliaia 3 4 2 2" xfId="2426" xr:uid="{00000000-0005-0000-0000-00005E0C0000}"/>
    <cellStyle name="Migliaia 3 4 2 3" xfId="3821" xr:uid="{00000000-0005-0000-0000-00005F0C0000}"/>
    <cellStyle name="Migliaia 3 4 2 4" xfId="5958" xr:uid="{00000000-0005-0000-0000-0000600C0000}"/>
    <cellStyle name="Migliaia 3 4 2 5" xfId="6903" xr:uid="{00000000-0005-0000-0000-0000610C0000}"/>
    <cellStyle name="Migliaia 3 4 2 6" xfId="4981" xr:uid="{00000000-0005-0000-0000-0000620C0000}"/>
    <cellStyle name="Migliaia 3 4 3" xfId="2425" xr:uid="{00000000-0005-0000-0000-0000630C0000}"/>
    <cellStyle name="Migliaia 3 4 4" xfId="3822" xr:uid="{00000000-0005-0000-0000-0000640C0000}"/>
    <cellStyle name="Migliaia 3 4 5" xfId="5957" xr:uid="{00000000-0005-0000-0000-0000650C0000}"/>
    <cellStyle name="Migliaia 3 4 6" xfId="6902" xr:uid="{00000000-0005-0000-0000-0000660C0000}"/>
    <cellStyle name="Migliaia 3 4 7" xfId="4980" xr:uid="{00000000-0005-0000-0000-0000670C0000}"/>
    <cellStyle name="Migliaia 3 5" xfId="1097" xr:uid="{00000000-0005-0000-0000-0000680C0000}"/>
    <cellStyle name="Migliaia 3 5 2" xfId="3823" xr:uid="{00000000-0005-0000-0000-0000690C0000}"/>
    <cellStyle name="Migliaia 3 5 3" xfId="5959" xr:uid="{00000000-0005-0000-0000-00006A0C0000}"/>
    <cellStyle name="Migliaia 3 5 4" xfId="6904" xr:uid="{00000000-0005-0000-0000-00006B0C0000}"/>
    <cellStyle name="Migliaia 3 5 5" xfId="4982" xr:uid="{00000000-0005-0000-0000-00006C0C0000}"/>
    <cellStyle name="Migliaia 3 6" xfId="3824" xr:uid="{00000000-0005-0000-0000-00006D0C0000}"/>
    <cellStyle name="Migliaia 3 7" xfId="5951" xr:uid="{00000000-0005-0000-0000-00006E0C0000}"/>
    <cellStyle name="Migliaia 3 8" xfId="6896" xr:uid="{00000000-0005-0000-0000-00006F0C0000}"/>
    <cellStyle name="Migliaia 3 9" xfId="4974" xr:uid="{00000000-0005-0000-0000-0000700C0000}"/>
    <cellStyle name="Migliaia 30" xfId="168" xr:uid="{00000000-0005-0000-0000-0000710C0000}"/>
    <cellStyle name="Migliaia 30 2" xfId="510" xr:uid="{00000000-0005-0000-0000-0000720C0000}"/>
    <cellStyle name="Migliaia 30 2 2" xfId="2427" xr:uid="{00000000-0005-0000-0000-0000730C0000}"/>
    <cellStyle name="Migliaia 30 2 2 2" xfId="3825" xr:uid="{00000000-0005-0000-0000-0000740C0000}"/>
    <cellStyle name="Migliaia 30 2 2 3" xfId="5962" xr:uid="{00000000-0005-0000-0000-0000750C0000}"/>
    <cellStyle name="Migliaia 30 2 2 4" xfId="6907" xr:uid="{00000000-0005-0000-0000-0000760C0000}"/>
    <cellStyle name="Migliaia 30 2 2 5" xfId="4985" xr:uid="{00000000-0005-0000-0000-0000770C0000}"/>
    <cellStyle name="Migliaia 30 2 3" xfId="3826" xr:uid="{00000000-0005-0000-0000-0000780C0000}"/>
    <cellStyle name="Migliaia 30 2 4" xfId="5961" xr:uid="{00000000-0005-0000-0000-0000790C0000}"/>
    <cellStyle name="Migliaia 30 2 5" xfId="6906" xr:uid="{00000000-0005-0000-0000-00007A0C0000}"/>
    <cellStyle name="Migliaia 30 2 6" xfId="4984" xr:uid="{00000000-0005-0000-0000-00007B0C0000}"/>
    <cellStyle name="Migliaia 30 3" xfId="1098" xr:uid="{00000000-0005-0000-0000-00007C0C0000}"/>
    <cellStyle name="Migliaia 30 3 2" xfId="1099" xr:uid="{00000000-0005-0000-0000-00007D0C0000}"/>
    <cellStyle name="Migliaia 30 3 2 2" xfId="3827" xr:uid="{00000000-0005-0000-0000-00007E0C0000}"/>
    <cellStyle name="Migliaia 30 3 2 2 2" xfId="5965" xr:uid="{00000000-0005-0000-0000-00007F0C0000}"/>
    <cellStyle name="Migliaia 30 3 2 2 3" xfId="6910" xr:uid="{00000000-0005-0000-0000-0000800C0000}"/>
    <cellStyle name="Migliaia 30 3 2 2 4" xfId="4988" xr:uid="{00000000-0005-0000-0000-0000810C0000}"/>
    <cellStyle name="Migliaia 30 3 2 3" xfId="3828" xr:uid="{00000000-0005-0000-0000-0000820C0000}"/>
    <cellStyle name="Migliaia 30 3 2 4" xfId="5964" xr:uid="{00000000-0005-0000-0000-0000830C0000}"/>
    <cellStyle name="Migliaia 30 3 2 5" xfId="6909" xr:uid="{00000000-0005-0000-0000-0000840C0000}"/>
    <cellStyle name="Migliaia 30 3 2 6" xfId="4987" xr:uid="{00000000-0005-0000-0000-0000850C0000}"/>
    <cellStyle name="Migliaia 30 3 3" xfId="1100" xr:uid="{00000000-0005-0000-0000-0000860C0000}"/>
    <cellStyle name="Migliaia 30 3 3 2" xfId="2429" xr:uid="{00000000-0005-0000-0000-0000870C0000}"/>
    <cellStyle name="Migliaia 30 3 4" xfId="2428" xr:uid="{00000000-0005-0000-0000-0000880C0000}"/>
    <cellStyle name="Migliaia 30 3 5" xfId="3829" xr:uid="{00000000-0005-0000-0000-0000890C0000}"/>
    <cellStyle name="Migliaia 30 3 6" xfId="5963" xr:uid="{00000000-0005-0000-0000-00008A0C0000}"/>
    <cellStyle name="Migliaia 30 3 7" xfId="6908" xr:uid="{00000000-0005-0000-0000-00008B0C0000}"/>
    <cellStyle name="Migliaia 30 3 8" xfId="4986" xr:uid="{00000000-0005-0000-0000-00008C0C0000}"/>
    <cellStyle name="Migliaia 30 4" xfId="1101" xr:uid="{00000000-0005-0000-0000-00008D0C0000}"/>
    <cellStyle name="Migliaia 30 4 2" xfId="1102" xr:uid="{00000000-0005-0000-0000-00008E0C0000}"/>
    <cellStyle name="Migliaia 30 4 2 2" xfId="2431" xr:uid="{00000000-0005-0000-0000-00008F0C0000}"/>
    <cellStyle name="Migliaia 30 4 2 3" xfId="3830" xr:uid="{00000000-0005-0000-0000-0000900C0000}"/>
    <cellStyle name="Migliaia 30 4 2 4" xfId="5967" xr:uid="{00000000-0005-0000-0000-0000910C0000}"/>
    <cellStyle name="Migliaia 30 4 2 5" xfId="6912" xr:uid="{00000000-0005-0000-0000-0000920C0000}"/>
    <cellStyle name="Migliaia 30 4 2 6" xfId="4990" xr:uid="{00000000-0005-0000-0000-0000930C0000}"/>
    <cellStyle name="Migliaia 30 4 3" xfId="2430" xr:uid="{00000000-0005-0000-0000-0000940C0000}"/>
    <cellStyle name="Migliaia 30 4 4" xfId="3831" xr:uid="{00000000-0005-0000-0000-0000950C0000}"/>
    <cellStyle name="Migliaia 30 4 5" xfId="5966" xr:uid="{00000000-0005-0000-0000-0000960C0000}"/>
    <cellStyle name="Migliaia 30 4 6" xfId="6911" xr:uid="{00000000-0005-0000-0000-0000970C0000}"/>
    <cellStyle name="Migliaia 30 4 7" xfId="4989" xr:uid="{00000000-0005-0000-0000-0000980C0000}"/>
    <cellStyle name="Migliaia 30 5" xfId="1103" xr:uid="{00000000-0005-0000-0000-0000990C0000}"/>
    <cellStyle name="Migliaia 30 5 2" xfId="3832" xr:uid="{00000000-0005-0000-0000-00009A0C0000}"/>
    <cellStyle name="Migliaia 30 5 3" xfId="5968" xr:uid="{00000000-0005-0000-0000-00009B0C0000}"/>
    <cellStyle name="Migliaia 30 5 4" xfId="6913" xr:uid="{00000000-0005-0000-0000-00009C0C0000}"/>
    <cellStyle name="Migliaia 30 5 5" xfId="4991" xr:uid="{00000000-0005-0000-0000-00009D0C0000}"/>
    <cellStyle name="Migliaia 30 6" xfId="3833" xr:uid="{00000000-0005-0000-0000-00009E0C0000}"/>
    <cellStyle name="Migliaia 30 7" xfId="5960" xr:uid="{00000000-0005-0000-0000-00009F0C0000}"/>
    <cellStyle name="Migliaia 30 8" xfId="6905" xr:uid="{00000000-0005-0000-0000-0000A00C0000}"/>
    <cellStyle name="Migliaia 30 9" xfId="4983" xr:uid="{00000000-0005-0000-0000-0000A10C0000}"/>
    <cellStyle name="Migliaia 31" xfId="169" xr:uid="{00000000-0005-0000-0000-0000A20C0000}"/>
    <cellStyle name="Migliaia 31 2" xfId="511" xr:uid="{00000000-0005-0000-0000-0000A30C0000}"/>
    <cellStyle name="Migliaia 31 2 2" xfId="2432" xr:uid="{00000000-0005-0000-0000-0000A40C0000}"/>
    <cellStyle name="Migliaia 31 2 2 2" xfId="3834" xr:uid="{00000000-0005-0000-0000-0000A50C0000}"/>
    <cellStyle name="Migliaia 31 2 2 3" xfId="5971" xr:uid="{00000000-0005-0000-0000-0000A60C0000}"/>
    <cellStyle name="Migliaia 31 2 2 4" xfId="6916" xr:uid="{00000000-0005-0000-0000-0000A70C0000}"/>
    <cellStyle name="Migliaia 31 2 2 5" xfId="4994" xr:uid="{00000000-0005-0000-0000-0000A80C0000}"/>
    <cellStyle name="Migliaia 31 2 3" xfId="3835" xr:uid="{00000000-0005-0000-0000-0000A90C0000}"/>
    <cellStyle name="Migliaia 31 2 4" xfId="5970" xr:uid="{00000000-0005-0000-0000-0000AA0C0000}"/>
    <cellStyle name="Migliaia 31 2 5" xfId="6915" xr:uid="{00000000-0005-0000-0000-0000AB0C0000}"/>
    <cellStyle name="Migliaia 31 2 6" xfId="4993" xr:uid="{00000000-0005-0000-0000-0000AC0C0000}"/>
    <cellStyle name="Migliaia 31 3" xfId="1104" xr:uid="{00000000-0005-0000-0000-0000AD0C0000}"/>
    <cellStyle name="Migliaia 31 3 2" xfId="1105" xr:uid="{00000000-0005-0000-0000-0000AE0C0000}"/>
    <cellStyle name="Migliaia 31 3 2 2" xfId="3836" xr:uid="{00000000-0005-0000-0000-0000AF0C0000}"/>
    <cellStyle name="Migliaia 31 3 2 2 2" xfId="5974" xr:uid="{00000000-0005-0000-0000-0000B00C0000}"/>
    <cellStyle name="Migliaia 31 3 2 2 3" xfId="6919" xr:uid="{00000000-0005-0000-0000-0000B10C0000}"/>
    <cellStyle name="Migliaia 31 3 2 2 4" xfId="4997" xr:uid="{00000000-0005-0000-0000-0000B20C0000}"/>
    <cellStyle name="Migliaia 31 3 2 3" xfId="3837" xr:uid="{00000000-0005-0000-0000-0000B30C0000}"/>
    <cellStyle name="Migliaia 31 3 2 4" xfId="5973" xr:uid="{00000000-0005-0000-0000-0000B40C0000}"/>
    <cellStyle name="Migliaia 31 3 2 5" xfId="6918" xr:uid="{00000000-0005-0000-0000-0000B50C0000}"/>
    <cellStyle name="Migliaia 31 3 2 6" xfId="4996" xr:uid="{00000000-0005-0000-0000-0000B60C0000}"/>
    <cellStyle name="Migliaia 31 3 3" xfId="1106" xr:uid="{00000000-0005-0000-0000-0000B70C0000}"/>
    <cellStyle name="Migliaia 31 3 3 2" xfId="2434" xr:uid="{00000000-0005-0000-0000-0000B80C0000}"/>
    <cellStyle name="Migliaia 31 3 4" xfId="2433" xr:uid="{00000000-0005-0000-0000-0000B90C0000}"/>
    <cellStyle name="Migliaia 31 3 5" xfId="3838" xr:uid="{00000000-0005-0000-0000-0000BA0C0000}"/>
    <cellStyle name="Migliaia 31 3 6" xfId="5972" xr:uid="{00000000-0005-0000-0000-0000BB0C0000}"/>
    <cellStyle name="Migliaia 31 3 7" xfId="6917" xr:uid="{00000000-0005-0000-0000-0000BC0C0000}"/>
    <cellStyle name="Migliaia 31 3 8" xfId="4995" xr:uid="{00000000-0005-0000-0000-0000BD0C0000}"/>
    <cellStyle name="Migliaia 31 4" xfId="1107" xr:uid="{00000000-0005-0000-0000-0000BE0C0000}"/>
    <cellStyle name="Migliaia 31 4 2" xfId="1108" xr:uid="{00000000-0005-0000-0000-0000BF0C0000}"/>
    <cellStyle name="Migliaia 31 4 2 2" xfId="2436" xr:uid="{00000000-0005-0000-0000-0000C00C0000}"/>
    <cellStyle name="Migliaia 31 4 2 3" xfId="3839" xr:uid="{00000000-0005-0000-0000-0000C10C0000}"/>
    <cellStyle name="Migliaia 31 4 2 4" xfId="5976" xr:uid="{00000000-0005-0000-0000-0000C20C0000}"/>
    <cellStyle name="Migliaia 31 4 2 5" xfId="6921" xr:uid="{00000000-0005-0000-0000-0000C30C0000}"/>
    <cellStyle name="Migliaia 31 4 2 6" xfId="4999" xr:uid="{00000000-0005-0000-0000-0000C40C0000}"/>
    <cellStyle name="Migliaia 31 4 3" xfId="2435" xr:uid="{00000000-0005-0000-0000-0000C50C0000}"/>
    <cellStyle name="Migliaia 31 4 4" xfId="3840" xr:uid="{00000000-0005-0000-0000-0000C60C0000}"/>
    <cellStyle name="Migliaia 31 4 5" xfId="5975" xr:uid="{00000000-0005-0000-0000-0000C70C0000}"/>
    <cellStyle name="Migliaia 31 4 6" xfId="6920" xr:uid="{00000000-0005-0000-0000-0000C80C0000}"/>
    <cellStyle name="Migliaia 31 4 7" xfId="4998" xr:uid="{00000000-0005-0000-0000-0000C90C0000}"/>
    <cellStyle name="Migliaia 31 5" xfId="1109" xr:uid="{00000000-0005-0000-0000-0000CA0C0000}"/>
    <cellStyle name="Migliaia 31 5 2" xfId="3841" xr:uid="{00000000-0005-0000-0000-0000CB0C0000}"/>
    <cellStyle name="Migliaia 31 5 3" xfId="5977" xr:uid="{00000000-0005-0000-0000-0000CC0C0000}"/>
    <cellStyle name="Migliaia 31 5 4" xfId="6922" xr:uid="{00000000-0005-0000-0000-0000CD0C0000}"/>
    <cellStyle name="Migliaia 31 5 5" xfId="5000" xr:uid="{00000000-0005-0000-0000-0000CE0C0000}"/>
    <cellStyle name="Migliaia 31 6" xfId="3842" xr:uid="{00000000-0005-0000-0000-0000CF0C0000}"/>
    <cellStyle name="Migliaia 31 7" xfId="5969" xr:uid="{00000000-0005-0000-0000-0000D00C0000}"/>
    <cellStyle name="Migliaia 31 8" xfId="6914" xr:uid="{00000000-0005-0000-0000-0000D10C0000}"/>
    <cellStyle name="Migliaia 31 9" xfId="4992" xr:uid="{00000000-0005-0000-0000-0000D20C0000}"/>
    <cellStyle name="Migliaia 32" xfId="170" xr:uid="{00000000-0005-0000-0000-0000D30C0000}"/>
    <cellStyle name="Migliaia 32 2" xfId="512" xr:uid="{00000000-0005-0000-0000-0000D40C0000}"/>
    <cellStyle name="Migliaia 32 2 2" xfId="2437" xr:uid="{00000000-0005-0000-0000-0000D50C0000}"/>
    <cellStyle name="Migliaia 32 2 2 2" xfId="3843" xr:uid="{00000000-0005-0000-0000-0000D60C0000}"/>
    <cellStyle name="Migliaia 32 2 2 3" xfId="5980" xr:uid="{00000000-0005-0000-0000-0000D70C0000}"/>
    <cellStyle name="Migliaia 32 2 2 4" xfId="6925" xr:uid="{00000000-0005-0000-0000-0000D80C0000}"/>
    <cellStyle name="Migliaia 32 2 2 5" xfId="5003" xr:uid="{00000000-0005-0000-0000-0000D90C0000}"/>
    <cellStyle name="Migliaia 32 2 3" xfId="3844" xr:uid="{00000000-0005-0000-0000-0000DA0C0000}"/>
    <cellStyle name="Migliaia 32 2 4" xfId="5979" xr:uid="{00000000-0005-0000-0000-0000DB0C0000}"/>
    <cellStyle name="Migliaia 32 2 5" xfId="6924" xr:uid="{00000000-0005-0000-0000-0000DC0C0000}"/>
    <cellStyle name="Migliaia 32 2 6" xfId="5002" xr:uid="{00000000-0005-0000-0000-0000DD0C0000}"/>
    <cellStyle name="Migliaia 32 3" xfId="1110" xr:uid="{00000000-0005-0000-0000-0000DE0C0000}"/>
    <cellStyle name="Migliaia 32 3 2" xfId="1111" xr:uid="{00000000-0005-0000-0000-0000DF0C0000}"/>
    <cellStyle name="Migliaia 32 3 2 2" xfId="3845" xr:uid="{00000000-0005-0000-0000-0000E00C0000}"/>
    <cellStyle name="Migliaia 32 3 2 2 2" xfId="5983" xr:uid="{00000000-0005-0000-0000-0000E10C0000}"/>
    <cellStyle name="Migliaia 32 3 2 2 3" xfId="6928" xr:uid="{00000000-0005-0000-0000-0000E20C0000}"/>
    <cellStyle name="Migliaia 32 3 2 2 4" xfId="5006" xr:uid="{00000000-0005-0000-0000-0000E30C0000}"/>
    <cellStyle name="Migliaia 32 3 2 3" xfId="3846" xr:uid="{00000000-0005-0000-0000-0000E40C0000}"/>
    <cellStyle name="Migliaia 32 3 2 4" xfId="5982" xr:uid="{00000000-0005-0000-0000-0000E50C0000}"/>
    <cellStyle name="Migliaia 32 3 2 5" xfId="6927" xr:uid="{00000000-0005-0000-0000-0000E60C0000}"/>
    <cellStyle name="Migliaia 32 3 2 6" xfId="5005" xr:uid="{00000000-0005-0000-0000-0000E70C0000}"/>
    <cellStyle name="Migliaia 32 3 3" xfId="1112" xr:uid="{00000000-0005-0000-0000-0000E80C0000}"/>
    <cellStyle name="Migliaia 32 3 3 2" xfId="2439" xr:uid="{00000000-0005-0000-0000-0000E90C0000}"/>
    <cellStyle name="Migliaia 32 3 4" xfId="2438" xr:uid="{00000000-0005-0000-0000-0000EA0C0000}"/>
    <cellStyle name="Migliaia 32 3 5" xfId="3847" xr:uid="{00000000-0005-0000-0000-0000EB0C0000}"/>
    <cellStyle name="Migliaia 32 3 6" xfId="5981" xr:uid="{00000000-0005-0000-0000-0000EC0C0000}"/>
    <cellStyle name="Migliaia 32 3 7" xfId="6926" xr:uid="{00000000-0005-0000-0000-0000ED0C0000}"/>
    <cellStyle name="Migliaia 32 3 8" xfId="5004" xr:uid="{00000000-0005-0000-0000-0000EE0C0000}"/>
    <cellStyle name="Migliaia 32 4" xfId="1113" xr:uid="{00000000-0005-0000-0000-0000EF0C0000}"/>
    <cellStyle name="Migliaia 32 4 2" xfId="1114" xr:uid="{00000000-0005-0000-0000-0000F00C0000}"/>
    <cellStyle name="Migliaia 32 4 2 2" xfId="2441" xr:uid="{00000000-0005-0000-0000-0000F10C0000}"/>
    <cellStyle name="Migliaia 32 4 2 3" xfId="3848" xr:uid="{00000000-0005-0000-0000-0000F20C0000}"/>
    <cellStyle name="Migliaia 32 4 2 4" xfId="5985" xr:uid="{00000000-0005-0000-0000-0000F30C0000}"/>
    <cellStyle name="Migliaia 32 4 2 5" xfId="6930" xr:uid="{00000000-0005-0000-0000-0000F40C0000}"/>
    <cellStyle name="Migliaia 32 4 2 6" xfId="5008" xr:uid="{00000000-0005-0000-0000-0000F50C0000}"/>
    <cellStyle name="Migliaia 32 4 3" xfId="2440" xr:uid="{00000000-0005-0000-0000-0000F60C0000}"/>
    <cellStyle name="Migliaia 32 4 4" xfId="3849" xr:uid="{00000000-0005-0000-0000-0000F70C0000}"/>
    <cellStyle name="Migliaia 32 4 5" xfId="5984" xr:uid="{00000000-0005-0000-0000-0000F80C0000}"/>
    <cellStyle name="Migliaia 32 4 6" xfId="6929" xr:uid="{00000000-0005-0000-0000-0000F90C0000}"/>
    <cellStyle name="Migliaia 32 4 7" xfId="5007" xr:uid="{00000000-0005-0000-0000-0000FA0C0000}"/>
    <cellStyle name="Migliaia 32 5" xfId="1115" xr:uid="{00000000-0005-0000-0000-0000FB0C0000}"/>
    <cellStyle name="Migliaia 32 5 2" xfId="3850" xr:uid="{00000000-0005-0000-0000-0000FC0C0000}"/>
    <cellStyle name="Migliaia 32 5 3" xfId="5986" xr:uid="{00000000-0005-0000-0000-0000FD0C0000}"/>
    <cellStyle name="Migliaia 32 5 4" xfId="6931" xr:uid="{00000000-0005-0000-0000-0000FE0C0000}"/>
    <cellStyle name="Migliaia 32 5 5" xfId="5009" xr:uid="{00000000-0005-0000-0000-0000FF0C0000}"/>
    <cellStyle name="Migliaia 32 6" xfId="3851" xr:uid="{00000000-0005-0000-0000-0000000D0000}"/>
    <cellStyle name="Migliaia 32 7" xfId="5978" xr:uid="{00000000-0005-0000-0000-0000010D0000}"/>
    <cellStyle name="Migliaia 32 8" xfId="6923" xr:uid="{00000000-0005-0000-0000-0000020D0000}"/>
    <cellStyle name="Migliaia 32 9" xfId="5001" xr:uid="{00000000-0005-0000-0000-0000030D0000}"/>
    <cellStyle name="Migliaia 33" xfId="171" xr:uid="{00000000-0005-0000-0000-0000040D0000}"/>
    <cellStyle name="Migliaia 33 2" xfId="513" xr:uid="{00000000-0005-0000-0000-0000050D0000}"/>
    <cellStyle name="Migliaia 33 2 2" xfId="2442" xr:uid="{00000000-0005-0000-0000-0000060D0000}"/>
    <cellStyle name="Migliaia 33 2 2 2" xfId="3852" xr:uid="{00000000-0005-0000-0000-0000070D0000}"/>
    <cellStyle name="Migliaia 33 2 2 3" xfId="5989" xr:uid="{00000000-0005-0000-0000-0000080D0000}"/>
    <cellStyle name="Migliaia 33 2 2 4" xfId="6934" xr:uid="{00000000-0005-0000-0000-0000090D0000}"/>
    <cellStyle name="Migliaia 33 2 2 5" xfId="5012" xr:uid="{00000000-0005-0000-0000-00000A0D0000}"/>
    <cellStyle name="Migliaia 33 2 3" xfId="3853" xr:uid="{00000000-0005-0000-0000-00000B0D0000}"/>
    <cellStyle name="Migliaia 33 2 4" xfId="5988" xr:uid="{00000000-0005-0000-0000-00000C0D0000}"/>
    <cellStyle name="Migliaia 33 2 5" xfId="6933" xr:uid="{00000000-0005-0000-0000-00000D0D0000}"/>
    <cellStyle name="Migliaia 33 2 6" xfId="5011" xr:uid="{00000000-0005-0000-0000-00000E0D0000}"/>
    <cellStyle name="Migliaia 33 3" xfId="1116" xr:uid="{00000000-0005-0000-0000-00000F0D0000}"/>
    <cellStyle name="Migliaia 33 3 2" xfId="1117" xr:uid="{00000000-0005-0000-0000-0000100D0000}"/>
    <cellStyle name="Migliaia 33 3 2 2" xfId="3854" xr:uid="{00000000-0005-0000-0000-0000110D0000}"/>
    <cellStyle name="Migliaia 33 3 2 2 2" xfId="5992" xr:uid="{00000000-0005-0000-0000-0000120D0000}"/>
    <cellStyle name="Migliaia 33 3 2 2 3" xfId="6937" xr:uid="{00000000-0005-0000-0000-0000130D0000}"/>
    <cellStyle name="Migliaia 33 3 2 2 4" xfId="5015" xr:uid="{00000000-0005-0000-0000-0000140D0000}"/>
    <cellStyle name="Migliaia 33 3 2 3" xfId="3855" xr:uid="{00000000-0005-0000-0000-0000150D0000}"/>
    <cellStyle name="Migliaia 33 3 2 4" xfId="5991" xr:uid="{00000000-0005-0000-0000-0000160D0000}"/>
    <cellStyle name="Migliaia 33 3 2 5" xfId="6936" xr:uid="{00000000-0005-0000-0000-0000170D0000}"/>
    <cellStyle name="Migliaia 33 3 2 6" xfId="5014" xr:uid="{00000000-0005-0000-0000-0000180D0000}"/>
    <cellStyle name="Migliaia 33 3 3" xfId="1118" xr:uid="{00000000-0005-0000-0000-0000190D0000}"/>
    <cellStyle name="Migliaia 33 3 3 2" xfId="2444" xr:uid="{00000000-0005-0000-0000-00001A0D0000}"/>
    <cellStyle name="Migliaia 33 3 4" xfId="2443" xr:uid="{00000000-0005-0000-0000-00001B0D0000}"/>
    <cellStyle name="Migliaia 33 3 5" xfId="3856" xr:uid="{00000000-0005-0000-0000-00001C0D0000}"/>
    <cellStyle name="Migliaia 33 3 6" xfId="5990" xr:uid="{00000000-0005-0000-0000-00001D0D0000}"/>
    <cellStyle name="Migliaia 33 3 7" xfId="6935" xr:uid="{00000000-0005-0000-0000-00001E0D0000}"/>
    <cellStyle name="Migliaia 33 3 8" xfId="5013" xr:uid="{00000000-0005-0000-0000-00001F0D0000}"/>
    <cellStyle name="Migliaia 33 4" xfId="1119" xr:uid="{00000000-0005-0000-0000-0000200D0000}"/>
    <cellStyle name="Migliaia 33 4 2" xfId="1120" xr:uid="{00000000-0005-0000-0000-0000210D0000}"/>
    <cellStyle name="Migliaia 33 4 2 2" xfId="2446" xr:uid="{00000000-0005-0000-0000-0000220D0000}"/>
    <cellStyle name="Migliaia 33 4 2 3" xfId="3857" xr:uid="{00000000-0005-0000-0000-0000230D0000}"/>
    <cellStyle name="Migliaia 33 4 2 4" xfId="5994" xr:uid="{00000000-0005-0000-0000-0000240D0000}"/>
    <cellStyle name="Migliaia 33 4 2 5" xfId="6939" xr:uid="{00000000-0005-0000-0000-0000250D0000}"/>
    <cellStyle name="Migliaia 33 4 2 6" xfId="5017" xr:uid="{00000000-0005-0000-0000-0000260D0000}"/>
    <cellStyle name="Migliaia 33 4 3" xfId="2445" xr:uid="{00000000-0005-0000-0000-0000270D0000}"/>
    <cellStyle name="Migliaia 33 4 4" xfId="3858" xr:uid="{00000000-0005-0000-0000-0000280D0000}"/>
    <cellStyle name="Migliaia 33 4 5" xfId="5993" xr:uid="{00000000-0005-0000-0000-0000290D0000}"/>
    <cellStyle name="Migliaia 33 4 6" xfId="6938" xr:uid="{00000000-0005-0000-0000-00002A0D0000}"/>
    <cellStyle name="Migliaia 33 4 7" xfId="5016" xr:uid="{00000000-0005-0000-0000-00002B0D0000}"/>
    <cellStyle name="Migliaia 33 5" xfId="1121" xr:uid="{00000000-0005-0000-0000-00002C0D0000}"/>
    <cellStyle name="Migliaia 33 5 2" xfId="3859" xr:uid="{00000000-0005-0000-0000-00002D0D0000}"/>
    <cellStyle name="Migliaia 33 5 3" xfId="5995" xr:uid="{00000000-0005-0000-0000-00002E0D0000}"/>
    <cellStyle name="Migliaia 33 5 4" xfId="6940" xr:uid="{00000000-0005-0000-0000-00002F0D0000}"/>
    <cellStyle name="Migliaia 33 5 5" xfId="5018" xr:uid="{00000000-0005-0000-0000-0000300D0000}"/>
    <cellStyle name="Migliaia 33 6" xfId="3860" xr:uid="{00000000-0005-0000-0000-0000310D0000}"/>
    <cellStyle name="Migliaia 33 7" xfId="5987" xr:uid="{00000000-0005-0000-0000-0000320D0000}"/>
    <cellStyle name="Migliaia 33 8" xfId="6932" xr:uid="{00000000-0005-0000-0000-0000330D0000}"/>
    <cellStyle name="Migliaia 33 9" xfId="5010" xr:uid="{00000000-0005-0000-0000-0000340D0000}"/>
    <cellStyle name="Migliaia 34" xfId="172" xr:uid="{00000000-0005-0000-0000-0000350D0000}"/>
    <cellStyle name="Migliaia 34 2" xfId="514" xr:uid="{00000000-0005-0000-0000-0000360D0000}"/>
    <cellStyle name="Migliaia 34 2 2" xfId="2447" xr:uid="{00000000-0005-0000-0000-0000370D0000}"/>
    <cellStyle name="Migliaia 34 2 2 2" xfId="3861" xr:uid="{00000000-0005-0000-0000-0000380D0000}"/>
    <cellStyle name="Migliaia 34 2 2 3" xfId="5998" xr:uid="{00000000-0005-0000-0000-0000390D0000}"/>
    <cellStyle name="Migliaia 34 2 2 4" xfId="6943" xr:uid="{00000000-0005-0000-0000-00003A0D0000}"/>
    <cellStyle name="Migliaia 34 2 2 5" xfId="5021" xr:uid="{00000000-0005-0000-0000-00003B0D0000}"/>
    <cellStyle name="Migliaia 34 2 3" xfId="3862" xr:uid="{00000000-0005-0000-0000-00003C0D0000}"/>
    <cellStyle name="Migliaia 34 2 4" xfId="5997" xr:uid="{00000000-0005-0000-0000-00003D0D0000}"/>
    <cellStyle name="Migliaia 34 2 5" xfId="6942" xr:uid="{00000000-0005-0000-0000-00003E0D0000}"/>
    <cellStyle name="Migliaia 34 2 6" xfId="5020" xr:uid="{00000000-0005-0000-0000-00003F0D0000}"/>
    <cellStyle name="Migliaia 34 3" xfId="1122" xr:uid="{00000000-0005-0000-0000-0000400D0000}"/>
    <cellStyle name="Migliaia 34 3 2" xfId="1123" xr:uid="{00000000-0005-0000-0000-0000410D0000}"/>
    <cellStyle name="Migliaia 34 3 2 2" xfId="3863" xr:uid="{00000000-0005-0000-0000-0000420D0000}"/>
    <cellStyle name="Migliaia 34 3 2 2 2" xfId="6001" xr:uid="{00000000-0005-0000-0000-0000430D0000}"/>
    <cellStyle name="Migliaia 34 3 2 2 3" xfId="6946" xr:uid="{00000000-0005-0000-0000-0000440D0000}"/>
    <cellStyle name="Migliaia 34 3 2 2 4" xfId="5024" xr:uid="{00000000-0005-0000-0000-0000450D0000}"/>
    <cellStyle name="Migliaia 34 3 2 3" xfId="3864" xr:uid="{00000000-0005-0000-0000-0000460D0000}"/>
    <cellStyle name="Migliaia 34 3 2 4" xfId="6000" xr:uid="{00000000-0005-0000-0000-0000470D0000}"/>
    <cellStyle name="Migliaia 34 3 2 5" xfId="6945" xr:uid="{00000000-0005-0000-0000-0000480D0000}"/>
    <cellStyle name="Migliaia 34 3 2 6" xfId="5023" xr:uid="{00000000-0005-0000-0000-0000490D0000}"/>
    <cellStyle name="Migliaia 34 3 3" xfId="1124" xr:uid="{00000000-0005-0000-0000-00004A0D0000}"/>
    <cellStyle name="Migliaia 34 3 3 2" xfId="2449" xr:uid="{00000000-0005-0000-0000-00004B0D0000}"/>
    <cellStyle name="Migliaia 34 3 4" xfId="2448" xr:uid="{00000000-0005-0000-0000-00004C0D0000}"/>
    <cellStyle name="Migliaia 34 3 5" xfId="3865" xr:uid="{00000000-0005-0000-0000-00004D0D0000}"/>
    <cellStyle name="Migliaia 34 3 6" xfId="5999" xr:uid="{00000000-0005-0000-0000-00004E0D0000}"/>
    <cellStyle name="Migliaia 34 3 7" xfId="6944" xr:uid="{00000000-0005-0000-0000-00004F0D0000}"/>
    <cellStyle name="Migliaia 34 3 8" xfId="5022" xr:uid="{00000000-0005-0000-0000-0000500D0000}"/>
    <cellStyle name="Migliaia 34 4" xfId="1125" xr:uid="{00000000-0005-0000-0000-0000510D0000}"/>
    <cellStyle name="Migliaia 34 4 2" xfId="1126" xr:uid="{00000000-0005-0000-0000-0000520D0000}"/>
    <cellStyle name="Migliaia 34 4 2 2" xfId="2451" xr:uid="{00000000-0005-0000-0000-0000530D0000}"/>
    <cellStyle name="Migliaia 34 4 2 3" xfId="3866" xr:uid="{00000000-0005-0000-0000-0000540D0000}"/>
    <cellStyle name="Migliaia 34 4 2 4" xfId="6003" xr:uid="{00000000-0005-0000-0000-0000550D0000}"/>
    <cellStyle name="Migliaia 34 4 2 5" xfId="6948" xr:uid="{00000000-0005-0000-0000-0000560D0000}"/>
    <cellStyle name="Migliaia 34 4 2 6" xfId="5026" xr:uid="{00000000-0005-0000-0000-0000570D0000}"/>
    <cellStyle name="Migliaia 34 4 3" xfId="2450" xr:uid="{00000000-0005-0000-0000-0000580D0000}"/>
    <cellStyle name="Migliaia 34 4 4" xfId="3867" xr:uid="{00000000-0005-0000-0000-0000590D0000}"/>
    <cellStyle name="Migliaia 34 4 5" xfId="6002" xr:uid="{00000000-0005-0000-0000-00005A0D0000}"/>
    <cellStyle name="Migliaia 34 4 6" xfId="6947" xr:uid="{00000000-0005-0000-0000-00005B0D0000}"/>
    <cellStyle name="Migliaia 34 4 7" xfId="5025" xr:uid="{00000000-0005-0000-0000-00005C0D0000}"/>
    <cellStyle name="Migliaia 34 5" xfId="1127" xr:uid="{00000000-0005-0000-0000-00005D0D0000}"/>
    <cellStyle name="Migliaia 34 5 2" xfId="3868" xr:uid="{00000000-0005-0000-0000-00005E0D0000}"/>
    <cellStyle name="Migliaia 34 5 3" xfId="6004" xr:uid="{00000000-0005-0000-0000-00005F0D0000}"/>
    <cellStyle name="Migliaia 34 5 4" xfId="6949" xr:uid="{00000000-0005-0000-0000-0000600D0000}"/>
    <cellStyle name="Migliaia 34 5 5" xfId="5027" xr:uid="{00000000-0005-0000-0000-0000610D0000}"/>
    <cellStyle name="Migliaia 34 6" xfId="3869" xr:uid="{00000000-0005-0000-0000-0000620D0000}"/>
    <cellStyle name="Migliaia 34 7" xfId="5996" xr:uid="{00000000-0005-0000-0000-0000630D0000}"/>
    <cellStyle name="Migliaia 34 8" xfId="6941" xr:uid="{00000000-0005-0000-0000-0000640D0000}"/>
    <cellStyle name="Migliaia 34 9" xfId="5019" xr:uid="{00000000-0005-0000-0000-0000650D0000}"/>
    <cellStyle name="Migliaia 35" xfId="173" xr:uid="{00000000-0005-0000-0000-0000660D0000}"/>
    <cellStyle name="Migliaia 35 2" xfId="515" xr:uid="{00000000-0005-0000-0000-0000670D0000}"/>
    <cellStyle name="Migliaia 35 2 2" xfId="2452" xr:uid="{00000000-0005-0000-0000-0000680D0000}"/>
    <cellStyle name="Migliaia 35 2 2 2" xfId="3870" xr:uid="{00000000-0005-0000-0000-0000690D0000}"/>
    <cellStyle name="Migliaia 35 2 2 3" xfId="6007" xr:uid="{00000000-0005-0000-0000-00006A0D0000}"/>
    <cellStyle name="Migliaia 35 2 2 4" xfId="6952" xr:uid="{00000000-0005-0000-0000-00006B0D0000}"/>
    <cellStyle name="Migliaia 35 2 2 5" xfId="5030" xr:uid="{00000000-0005-0000-0000-00006C0D0000}"/>
    <cellStyle name="Migliaia 35 2 3" xfId="3871" xr:uid="{00000000-0005-0000-0000-00006D0D0000}"/>
    <cellStyle name="Migliaia 35 2 4" xfId="6006" xr:uid="{00000000-0005-0000-0000-00006E0D0000}"/>
    <cellStyle name="Migliaia 35 2 5" xfId="6951" xr:uid="{00000000-0005-0000-0000-00006F0D0000}"/>
    <cellStyle name="Migliaia 35 2 6" xfId="5029" xr:uid="{00000000-0005-0000-0000-0000700D0000}"/>
    <cellStyle name="Migliaia 35 3" xfId="1128" xr:uid="{00000000-0005-0000-0000-0000710D0000}"/>
    <cellStyle name="Migliaia 35 3 2" xfId="1129" xr:uid="{00000000-0005-0000-0000-0000720D0000}"/>
    <cellStyle name="Migliaia 35 3 2 2" xfId="3872" xr:uid="{00000000-0005-0000-0000-0000730D0000}"/>
    <cellStyle name="Migliaia 35 3 2 2 2" xfId="6010" xr:uid="{00000000-0005-0000-0000-0000740D0000}"/>
    <cellStyle name="Migliaia 35 3 2 2 3" xfId="6955" xr:uid="{00000000-0005-0000-0000-0000750D0000}"/>
    <cellStyle name="Migliaia 35 3 2 2 4" xfId="5033" xr:uid="{00000000-0005-0000-0000-0000760D0000}"/>
    <cellStyle name="Migliaia 35 3 2 3" xfId="3873" xr:uid="{00000000-0005-0000-0000-0000770D0000}"/>
    <cellStyle name="Migliaia 35 3 2 4" xfId="6009" xr:uid="{00000000-0005-0000-0000-0000780D0000}"/>
    <cellStyle name="Migliaia 35 3 2 5" xfId="6954" xr:uid="{00000000-0005-0000-0000-0000790D0000}"/>
    <cellStyle name="Migliaia 35 3 2 6" xfId="5032" xr:uid="{00000000-0005-0000-0000-00007A0D0000}"/>
    <cellStyle name="Migliaia 35 3 3" xfId="1130" xr:uid="{00000000-0005-0000-0000-00007B0D0000}"/>
    <cellStyle name="Migliaia 35 3 3 2" xfId="2454" xr:uid="{00000000-0005-0000-0000-00007C0D0000}"/>
    <cellStyle name="Migliaia 35 3 4" xfId="2453" xr:uid="{00000000-0005-0000-0000-00007D0D0000}"/>
    <cellStyle name="Migliaia 35 3 5" xfId="3874" xr:uid="{00000000-0005-0000-0000-00007E0D0000}"/>
    <cellStyle name="Migliaia 35 3 6" xfId="6008" xr:uid="{00000000-0005-0000-0000-00007F0D0000}"/>
    <cellStyle name="Migliaia 35 3 7" xfId="6953" xr:uid="{00000000-0005-0000-0000-0000800D0000}"/>
    <cellStyle name="Migliaia 35 3 8" xfId="5031" xr:uid="{00000000-0005-0000-0000-0000810D0000}"/>
    <cellStyle name="Migliaia 35 4" xfId="1131" xr:uid="{00000000-0005-0000-0000-0000820D0000}"/>
    <cellStyle name="Migliaia 35 4 2" xfId="1132" xr:uid="{00000000-0005-0000-0000-0000830D0000}"/>
    <cellStyle name="Migliaia 35 4 2 2" xfId="2456" xr:uid="{00000000-0005-0000-0000-0000840D0000}"/>
    <cellStyle name="Migliaia 35 4 2 3" xfId="3875" xr:uid="{00000000-0005-0000-0000-0000850D0000}"/>
    <cellStyle name="Migliaia 35 4 2 4" xfId="6012" xr:uid="{00000000-0005-0000-0000-0000860D0000}"/>
    <cellStyle name="Migliaia 35 4 2 5" xfId="6957" xr:uid="{00000000-0005-0000-0000-0000870D0000}"/>
    <cellStyle name="Migliaia 35 4 2 6" xfId="5035" xr:uid="{00000000-0005-0000-0000-0000880D0000}"/>
    <cellStyle name="Migliaia 35 4 3" xfId="2455" xr:uid="{00000000-0005-0000-0000-0000890D0000}"/>
    <cellStyle name="Migliaia 35 4 4" xfId="3876" xr:uid="{00000000-0005-0000-0000-00008A0D0000}"/>
    <cellStyle name="Migliaia 35 4 5" xfId="6011" xr:uid="{00000000-0005-0000-0000-00008B0D0000}"/>
    <cellStyle name="Migliaia 35 4 6" xfId="6956" xr:uid="{00000000-0005-0000-0000-00008C0D0000}"/>
    <cellStyle name="Migliaia 35 4 7" xfId="5034" xr:uid="{00000000-0005-0000-0000-00008D0D0000}"/>
    <cellStyle name="Migliaia 35 5" xfId="1133" xr:uid="{00000000-0005-0000-0000-00008E0D0000}"/>
    <cellStyle name="Migliaia 35 5 2" xfId="3877" xr:uid="{00000000-0005-0000-0000-00008F0D0000}"/>
    <cellStyle name="Migliaia 35 5 3" xfId="6013" xr:uid="{00000000-0005-0000-0000-0000900D0000}"/>
    <cellStyle name="Migliaia 35 5 4" xfId="6958" xr:uid="{00000000-0005-0000-0000-0000910D0000}"/>
    <cellStyle name="Migliaia 35 5 5" xfId="5036" xr:uid="{00000000-0005-0000-0000-0000920D0000}"/>
    <cellStyle name="Migliaia 35 6" xfId="3878" xr:uid="{00000000-0005-0000-0000-0000930D0000}"/>
    <cellStyle name="Migliaia 35 7" xfId="6005" xr:uid="{00000000-0005-0000-0000-0000940D0000}"/>
    <cellStyle name="Migliaia 35 8" xfId="6950" xr:uid="{00000000-0005-0000-0000-0000950D0000}"/>
    <cellStyle name="Migliaia 35 9" xfId="5028" xr:uid="{00000000-0005-0000-0000-0000960D0000}"/>
    <cellStyle name="Migliaia 36" xfId="174" xr:uid="{00000000-0005-0000-0000-0000970D0000}"/>
    <cellStyle name="Migliaia 36 2" xfId="516" xr:uid="{00000000-0005-0000-0000-0000980D0000}"/>
    <cellStyle name="Migliaia 36 2 2" xfId="2457" xr:uid="{00000000-0005-0000-0000-0000990D0000}"/>
    <cellStyle name="Migliaia 36 2 2 2" xfId="3879" xr:uid="{00000000-0005-0000-0000-00009A0D0000}"/>
    <cellStyle name="Migliaia 36 2 2 3" xfId="6016" xr:uid="{00000000-0005-0000-0000-00009B0D0000}"/>
    <cellStyle name="Migliaia 36 2 2 4" xfId="6961" xr:uid="{00000000-0005-0000-0000-00009C0D0000}"/>
    <cellStyle name="Migliaia 36 2 2 5" xfId="5039" xr:uid="{00000000-0005-0000-0000-00009D0D0000}"/>
    <cellStyle name="Migliaia 36 2 3" xfId="3880" xr:uid="{00000000-0005-0000-0000-00009E0D0000}"/>
    <cellStyle name="Migliaia 36 2 4" xfId="6015" xr:uid="{00000000-0005-0000-0000-00009F0D0000}"/>
    <cellStyle name="Migliaia 36 2 5" xfId="6960" xr:uid="{00000000-0005-0000-0000-0000A00D0000}"/>
    <cellStyle name="Migliaia 36 2 6" xfId="5038" xr:uid="{00000000-0005-0000-0000-0000A10D0000}"/>
    <cellStyle name="Migliaia 36 3" xfId="1134" xr:uid="{00000000-0005-0000-0000-0000A20D0000}"/>
    <cellStyle name="Migliaia 36 3 2" xfId="1135" xr:uid="{00000000-0005-0000-0000-0000A30D0000}"/>
    <cellStyle name="Migliaia 36 3 2 2" xfId="3881" xr:uid="{00000000-0005-0000-0000-0000A40D0000}"/>
    <cellStyle name="Migliaia 36 3 2 2 2" xfId="6019" xr:uid="{00000000-0005-0000-0000-0000A50D0000}"/>
    <cellStyle name="Migliaia 36 3 2 2 3" xfId="6964" xr:uid="{00000000-0005-0000-0000-0000A60D0000}"/>
    <cellStyle name="Migliaia 36 3 2 2 4" xfId="5042" xr:uid="{00000000-0005-0000-0000-0000A70D0000}"/>
    <cellStyle name="Migliaia 36 3 2 3" xfId="3882" xr:uid="{00000000-0005-0000-0000-0000A80D0000}"/>
    <cellStyle name="Migliaia 36 3 2 4" xfId="6018" xr:uid="{00000000-0005-0000-0000-0000A90D0000}"/>
    <cellStyle name="Migliaia 36 3 2 5" xfId="6963" xr:uid="{00000000-0005-0000-0000-0000AA0D0000}"/>
    <cellStyle name="Migliaia 36 3 2 6" xfId="5041" xr:uid="{00000000-0005-0000-0000-0000AB0D0000}"/>
    <cellStyle name="Migliaia 36 3 3" xfId="1136" xr:uid="{00000000-0005-0000-0000-0000AC0D0000}"/>
    <cellStyle name="Migliaia 36 3 3 2" xfId="2459" xr:uid="{00000000-0005-0000-0000-0000AD0D0000}"/>
    <cellStyle name="Migliaia 36 3 4" xfId="2458" xr:uid="{00000000-0005-0000-0000-0000AE0D0000}"/>
    <cellStyle name="Migliaia 36 3 5" xfId="3883" xr:uid="{00000000-0005-0000-0000-0000AF0D0000}"/>
    <cellStyle name="Migliaia 36 3 6" xfId="6017" xr:uid="{00000000-0005-0000-0000-0000B00D0000}"/>
    <cellStyle name="Migliaia 36 3 7" xfId="6962" xr:uid="{00000000-0005-0000-0000-0000B10D0000}"/>
    <cellStyle name="Migliaia 36 3 8" xfId="5040" xr:uid="{00000000-0005-0000-0000-0000B20D0000}"/>
    <cellStyle name="Migliaia 36 4" xfId="1137" xr:uid="{00000000-0005-0000-0000-0000B30D0000}"/>
    <cellStyle name="Migliaia 36 4 2" xfId="1138" xr:uid="{00000000-0005-0000-0000-0000B40D0000}"/>
    <cellStyle name="Migliaia 36 4 2 2" xfId="2461" xr:uid="{00000000-0005-0000-0000-0000B50D0000}"/>
    <cellStyle name="Migliaia 36 4 2 3" xfId="3884" xr:uid="{00000000-0005-0000-0000-0000B60D0000}"/>
    <cellStyle name="Migliaia 36 4 2 4" xfId="6021" xr:uid="{00000000-0005-0000-0000-0000B70D0000}"/>
    <cellStyle name="Migliaia 36 4 2 5" xfId="6966" xr:uid="{00000000-0005-0000-0000-0000B80D0000}"/>
    <cellStyle name="Migliaia 36 4 2 6" xfId="5044" xr:uid="{00000000-0005-0000-0000-0000B90D0000}"/>
    <cellStyle name="Migliaia 36 4 3" xfId="2460" xr:uid="{00000000-0005-0000-0000-0000BA0D0000}"/>
    <cellStyle name="Migliaia 36 4 4" xfId="3885" xr:uid="{00000000-0005-0000-0000-0000BB0D0000}"/>
    <cellStyle name="Migliaia 36 4 5" xfId="6020" xr:uid="{00000000-0005-0000-0000-0000BC0D0000}"/>
    <cellStyle name="Migliaia 36 4 6" xfId="6965" xr:uid="{00000000-0005-0000-0000-0000BD0D0000}"/>
    <cellStyle name="Migliaia 36 4 7" xfId="5043" xr:uid="{00000000-0005-0000-0000-0000BE0D0000}"/>
    <cellStyle name="Migliaia 36 5" xfId="1139" xr:uid="{00000000-0005-0000-0000-0000BF0D0000}"/>
    <cellStyle name="Migliaia 36 5 2" xfId="3886" xr:uid="{00000000-0005-0000-0000-0000C00D0000}"/>
    <cellStyle name="Migliaia 36 5 3" xfId="6022" xr:uid="{00000000-0005-0000-0000-0000C10D0000}"/>
    <cellStyle name="Migliaia 36 5 4" xfId="6967" xr:uid="{00000000-0005-0000-0000-0000C20D0000}"/>
    <cellStyle name="Migliaia 36 5 5" xfId="5045" xr:uid="{00000000-0005-0000-0000-0000C30D0000}"/>
    <cellStyle name="Migliaia 36 6" xfId="3887" xr:uid="{00000000-0005-0000-0000-0000C40D0000}"/>
    <cellStyle name="Migliaia 36 7" xfId="6014" xr:uid="{00000000-0005-0000-0000-0000C50D0000}"/>
    <cellStyle name="Migliaia 36 8" xfId="6959" xr:uid="{00000000-0005-0000-0000-0000C60D0000}"/>
    <cellStyle name="Migliaia 36 9" xfId="5037" xr:uid="{00000000-0005-0000-0000-0000C70D0000}"/>
    <cellStyle name="Migliaia 37" xfId="175" xr:uid="{00000000-0005-0000-0000-0000C80D0000}"/>
    <cellStyle name="Migliaia 37 2" xfId="517" xr:uid="{00000000-0005-0000-0000-0000C90D0000}"/>
    <cellStyle name="Migliaia 37 2 2" xfId="2462" xr:uid="{00000000-0005-0000-0000-0000CA0D0000}"/>
    <cellStyle name="Migliaia 37 2 2 2" xfId="3888" xr:uid="{00000000-0005-0000-0000-0000CB0D0000}"/>
    <cellStyle name="Migliaia 37 2 2 3" xfId="6025" xr:uid="{00000000-0005-0000-0000-0000CC0D0000}"/>
    <cellStyle name="Migliaia 37 2 2 4" xfId="6970" xr:uid="{00000000-0005-0000-0000-0000CD0D0000}"/>
    <cellStyle name="Migliaia 37 2 2 5" xfId="5048" xr:uid="{00000000-0005-0000-0000-0000CE0D0000}"/>
    <cellStyle name="Migliaia 37 2 3" xfId="3889" xr:uid="{00000000-0005-0000-0000-0000CF0D0000}"/>
    <cellStyle name="Migliaia 37 2 4" xfId="6024" xr:uid="{00000000-0005-0000-0000-0000D00D0000}"/>
    <cellStyle name="Migliaia 37 2 5" xfId="6969" xr:uid="{00000000-0005-0000-0000-0000D10D0000}"/>
    <cellStyle name="Migliaia 37 2 6" xfId="5047" xr:uid="{00000000-0005-0000-0000-0000D20D0000}"/>
    <cellStyle name="Migliaia 37 3" xfId="1140" xr:uid="{00000000-0005-0000-0000-0000D30D0000}"/>
    <cellStyle name="Migliaia 37 3 2" xfId="1141" xr:uid="{00000000-0005-0000-0000-0000D40D0000}"/>
    <cellStyle name="Migliaia 37 3 2 2" xfId="3890" xr:uid="{00000000-0005-0000-0000-0000D50D0000}"/>
    <cellStyle name="Migliaia 37 3 2 2 2" xfId="6028" xr:uid="{00000000-0005-0000-0000-0000D60D0000}"/>
    <cellStyle name="Migliaia 37 3 2 2 3" xfId="6973" xr:uid="{00000000-0005-0000-0000-0000D70D0000}"/>
    <cellStyle name="Migliaia 37 3 2 2 4" xfId="5051" xr:uid="{00000000-0005-0000-0000-0000D80D0000}"/>
    <cellStyle name="Migliaia 37 3 2 3" xfId="3891" xr:uid="{00000000-0005-0000-0000-0000D90D0000}"/>
    <cellStyle name="Migliaia 37 3 2 4" xfId="6027" xr:uid="{00000000-0005-0000-0000-0000DA0D0000}"/>
    <cellStyle name="Migliaia 37 3 2 5" xfId="6972" xr:uid="{00000000-0005-0000-0000-0000DB0D0000}"/>
    <cellStyle name="Migliaia 37 3 2 6" xfId="5050" xr:uid="{00000000-0005-0000-0000-0000DC0D0000}"/>
    <cellStyle name="Migliaia 37 3 3" xfId="1142" xr:uid="{00000000-0005-0000-0000-0000DD0D0000}"/>
    <cellStyle name="Migliaia 37 3 3 2" xfId="2464" xr:uid="{00000000-0005-0000-0000-0000DE0D0000}"/>
    <cellStyle name="Migliaia 37 3 4" xfId="2463" xr:uid="{00000000-0005-0000-0000-0000DF0D0000}"/>
    <cellStyle name="Migliaia 37 3 5" xfId="3892" xr:uid="{00000000-0005-0000-0000-0000E00D0000}"/>
    <cellStyle name="Migliaia 37 3 6" xfId="6026" xr:uid="{00000000-0005-0000-0000-0000E10D0000}"/>
    <cellStyle name="Migliaia 37 3 7" xfId="6971" xr:uid="{00000000-0005-0000-0000-0000E20D0000}"/>
    <cellStyle name="Migliaia 37 3 8" xfId="5049" xr:uid="{00000000-0005-0000-0000-0000E30D0000}"/>
    <cellStyle name="Migliaia 37 4" xfId="1143" xr:uid="{00000000-0005-0000-0000-0000E40D0000}"/>
    <cellStyle name="Migliaia 37 4 2" xfId="1144" xr:uid="{00000000-0005-0000-0000-0000E50D0000}"/>
    <cellStyle name="Migliaia 37 4 2 2" xfId="2466" xr:uid="{00000000-0005-0000-0000-0000E60D0000}"/>
    <cellStyle name="Migliaia 37 4 2 3" xfId="3893" xr:uid="{00000000-0005-0000-0000-0000E70D0000}"/>
    <cellStyle name="Migliaia 37 4 2 4" xfId="6030" xr:uid="{00000000-0005-0000-0000-0000E80D0000}"/>
    <cellStyle name="Migliaia 37 4 2 5" xfId="6975" xr:uid="{00000000-0005-0000-0000-0000E90D0000}"/>
    <cellStyle name="Migliaia 37 4 2 6" xfId="5053" xr:uid="{00000000-0005-0000-0000-0000EA0D0000}"/>
    <cellStyle name="Migliaia 37 4 3" xfId="2465" xr:uid="{00000000-0005-0000-0000-0000EB0D0000}"/>
    <cellStyle name="Migliaia 37 4 4" xfId="3894" xr:uid="{00000000-0005-0000-0000-0000EC0D0000}"/>
    <cellStyle name="Migliaia 37 4 5" xfId="6029" xr:uid="{00000000-0005-0000-0000-0000ED0D0000}"/>
    <cellStyle name="Migliaia 37 4 6" xfId="6974" xr:uid="{00000000-0005-0000-0000-0000EE0D0000}"/>
    <cellStyle name="Migliaia 37 4 7" xfId="5052" xr:uid="{00000000-0005-0000-0000-0000EF0D0000}"/>
    <cellStyle name="Migliaia 37 5" xfId="1145" xr:uid="{00000000-0005-0000-0000-0000F00D0000}"/>
    <cellStyle name="Migliaia 37 5 2" xfId="3895" xr:uid="{00000000-0005-0000-0000-0000F10D0000}"/>
    <cellStyle name="Migliaia 37 5 3" xfId="6031" xr:uid="{00000000-0005-0000-0000-0000F20D0000}"/>
    <cellStyle name="Migliaia 37 5 4" xfId="6976" xr:uid="{00000000-0005-0000-0000-0000F30D0000}"/>
    <cellStyle name="Migliaia 37 5 5" xfId="5054" xr:uid="{00000000-0005-0000-0000-0000F40D0000}"/>
    <cellStyle name="Migliaia 37 6" xfId="3896" xr:uid="{00000000-0005-0000-0000-0000F50D0000}"/>
    <cellStyle name="Migliaia 37 7" xfId="6023" xr:uid="{00000000-0005-0000-0000-0000F60D0000}"/>
    <cellStyle name="Migliaia 37 8" xfId="6968" xr:uid="{00000000-0005-0000-0000-0000F70D0000}"/>
    <cellStyle name="Migliaia 37 9" xfId="5046" xr:uid="{00000000-0005-0000-0000-0000F80D0000}"/>
    <cellStyle name="Migliaia 38" xfId="176" xr:uid="{00000000-0005-0000-0000-0000F90D0000}"/>
    <cellStyle name="Migliaia 38 2" xfId="518" xr:uid="{00000000-0005-0000-0000-0000FA0D0000}"/>
    <cellStyle name="Migliaia 38 2 2" xfId="2467" xr:uid="{00000000-0005-0000-0000-0000FB0D0000}"/>
    <cellStyle name="Migliaia 38 2 2 2" xfId="3897" xr:uid="{00000000-0005-0000-0000-0000FC0D0000}"/>
    <cellStyle name="Migliaia 38 2 2 3" xfId="6034" xr:uid="{00000000-0005-0000-0000-0000FD0D0000}"/>
    <cellStyle name="Migliaia 38 2 2 4" xfId="6979" xr:uid="{00000000-0005-0000-0000-0000FE0D0000}"/>
    <cellStyle name="Migliaia 38 2 2 5" xfId="5057" xr:uid="{00000000-0005-0000-0000-0000FF0D0000}"/>
    <cellStyle name="Migliaia 38 2 3" xfId="3898" xr:uid="{00000000-0005-0000-0000-0000000E0000}"/>
    <cellStyle name="Migliaia 38 2 4" xfId="6033" xr:uid="{00000000-0005-0000-0000-0000010E0000}"/>
    <cellStyle name="Migliaia 38 2 5" xfId="6978" xr:uid="{00000000-0005-0000-0000-0000020E0000}"/>
    <cellStyle name="Migliaia 38 2 6" xfId="5056" xr:uid="{00000000-0005-0000-0000-0000030E0000}"/>
    <cellStyle name="Migliaia 38 3" xfId="1146" xr:uid="{00000000-0005-0000-0000-0000040E0000}"/>
    <cellStyle name="Migliaia 38 3 2" xfId="1147" xr:uid="{00000000-0005-0000-0000-0000050E0000}"/>
    <cellStyle name="Migliaia 38 3 2 2" xfId="3899" xr:uid="{00000000-0005-0000-0000-0000060E0000}"/>
    <cellStyle name="Migliaia 38 3 2 2 2" xfId="6037" xr:uid="{00000000-0005-0000-0000-0000070E0000}"/>
    <cellStyle name="Migliaia 38 3 2 2 3" xfId="6982" xr:uid="{00000000-0005-0000-0000-0000080E0000}"/>
    <cellStyle name="Migliaia 38 3 2 2 4" xfId="5060" xr:uid="{00000000-0005-0000-0000-0000090E0000}"/>
    <cellStyle name="Migliaia 38 3 2 3" xfId="3900" xr:uid="{00000000-0005-0000-0000-00000A0E0000}"/>
    <cellStyle name="Migliaia 38 3 2 4" xfId="6036" xr:uid="{00000000-0005-0000-0000-00000B0E0000}"/>
    <cellStyle name="Migliaia 38 3 2 5" xfId="6981" xr:uid="{00000000-0005-0000-0000-00000C0E0000}"/>
    <cellStyle name="Migliaia 38 3 2 6" xfId="5059" xr:uid="{00000000-0005-0000-0000-00000D0E0000}"/>
    <cellStyle name="Migliaia 38 3 3" xfId="1148" xr:uid="{00000000-0005-0000-0000-00000E0E0000}"/>
    <cellStyle name="Migliaia 38 3 3 2" xfId="2469" xr:uid="{00000000-0005-0000-0000-00000F0E0000}"/>
    <cellStyle name="Migliaia 38 3 4" xfId="2468" xr:uid="{00000000-0005-0000-0000-0000100E0000}"/>
    <cellStyle name="Migliaia 38 3 5" xfId="3901" xr:uid="{00000000-0005-0000-0000-0000110E0000}"/>
    <cellStyle name="Migliaia 38 3 6" xfId="6035" xr:uid="{00000000-0005-0000-0000-0000120E0000}"/>
    <cellStyle name="Migliaia 38 3 7" xfId="6980" xr:uid="{00000000-0005-0000-0000-0000130E0000}"/>
    <cellStyle name="Migliaia 38 3 8" xfId="5058" xr:uid="{00000000-0005-0000-0000-0000140E0000}"/>
    <cellStyle name="Migliaia 38 4" xfId="1149" xr:uid="{00000000-0005-0000-0000-0000150E0000}"/>
    <cellStyle name="Migliaia 38 4 2" xfId="1150" xr:uid="{00000000-0005-0000-0000-0000160E0000}"/>
    <cellStyle name="Migliaia 38 4 2 2" xfId="2471" xr:uid="{00000000-0005-0000-0000-0000170E0000}"/>
    <cellStyle name="Migliaia 38 4 2 3" xfId="3902" xr:uid="{00000000-0005-0000-0000-0000180E0000}"/>
    <cellStyle name="Migliaia 38 4 2 4" xfId="6039" xr:uid="{00000000-0005-0000-0000-0000190E0000}"/>
    <cellStyle name="Migliaia 38 4 2 5" xfId="6984" xr:uid="{00000000-0005-0000-0000-00001A0E0000}"/>
    <cellStyle name="Migliaia 38 4 2 6" xfId="5062" xr:uid="{00000000-0005-0000-0000-00001B0E0000}"/>
    <cellStyle name="Migliaia 38 4 3" xfId="2470" xr:uid="{00000000-0005-0000-0000-00001C0E0000}"/>
    <cellStyle name="Migliaia 38 4 4" xfId="3903" xr:uid="{00000000-0005-0000-0000-00001D0E0000}"/>
    <cellStyle name="Migliaia 38 4 5" xfId="6038" xr:uid="{00000000-0005-0000-0000-00001E0E0000}"/>
    <cellStyle name="Migliaia 38 4 6" xfId="6983" xr:uid="{00000000-0005-0000-0000-00001F0E0000}"/>
    <cellStyle name="Migliaia 38 4 7" xfId="5061" xr:uid="{00000000-0005-0000-0000-0000200E0000}"/>
    <cellStyle name="Migliaia 38 5" xfId="1151" xr:uid="{00000000-0005-0000-0000-0000210E0000}"/>
    <cellStyle name="Migliaia 38 5 2" xfId="3904" xr:uid="{00000000-0005-0000-0000-0000220E0000}"/>
    <cellStyle name="Migliaia 38 5 3" xfId="6040" xr:uid="{00000000-0005-0000-0000-0000230E0000}"/>
    <cellStyle name="Migliaia 38 5 4" xfId="6985" xr:uid="{00000000-0005-0000-0000-0000240E0000}"/>
    <cellStyle name="Migliaia 38 5 5" xfId="5063" xr:uid="{00000000-0005-0000-0000-0000250E0000}"/>
    <cellStyle name="Migliaia 38 6" xfId="3905" xr:uid="{00000000-0005-0000-0000-0000260E0000}"/>
    <cellStyle name="Migliaia 38 7" xfId="6032" xr:uid="{00000000-0005-0000-0000-0000270E0000}"/>
    <cellStyle name="Migliaia 38 8" xfId="6977" xr:uid="{00000000-0005-0000-0000-0000280E0000}"/>
    <cellStyle name="Migliaia 38 9" xfId="5055" xr:uid="{00000000-0005-0000-0000-0000290E0000}"/>
    <cellStyle name="Migliaia 39" xfId="177" xr:uid="{00000000-0005-0000-0000-00002A0E0000}"/>
    <cellStyle name="Migliaia 39 2" xfId="519" xr:uid="{00000000-0005-0000-0000-00002B0E0000}"/>
    <cellStyle name="Migliaia 39 2 2" xfId="2472" xr:uid="{00000000-0005-0000-0000-00002C0E0000}"/>
    <cellStyle name="Migliaia 39 2 2 2" xfId="3906" xr:uid="{00000000-0005-0000-0000-00002D0E0000}"/>
    <cellStyle name="Migliaia 39 2 2 3" xfId="6043" xr:uid="{00000000-0005-0000-0000-00002E0E0000}"/>
    <cellStyle name="Migliaia 39 2 2 4" xfId="6988" xr:uid="{00000000-0005-0000-0000-00002F0E0000}"/>
    <cellStyle name="Migliaia 39 2 2 5" xfId="5066" xr:uid="{00000000-0005-0000-0000-0000300E0000}"/>
    <cellStyle name="Migliaia 39 2 3" xfId="3907" xr:uid="{00000000-0005-0000-0000-0000310E0000}"/>
    <cellStyle name="Migliaia 39 2 4" xfId="6042" xr:uid="{00000000-0005-0000-0000-0000320E0000}"/>
    <cellStyle name="Migliaia 39 2 5" xfId="6987" xr:uid="{00000000-0005-0000-0000-0000330E0000}"/>
    <cellStyle name="Migliaia 39 2 6" xfId="5065" xr:uid="{00000000-0005-0000-0000-0000340E0000}"/>
    <cellStyle name="Migliaia 39 3" xfId="1152" xr:uid="{00000000-0005-0000-0000-0000350E0000}"/>
    <cellStyle name="Migliaia 39 3 2" xfId="1153" xr:uid="{00000000-0005-0000-0000-0000360E0000}"/>
    <cellStyle name="Migliaia 39 3 2 2" xfId="3908" xr:uid="{00000000-0005-0000-0000-0000370E0000}"/>
    <cellStyle name="Migliaia 39 3 2 2 2" xfId="6046" xr:uid="{00000000-0005-0000-0000-0000380E0000}"/>
    <cellStyle name="Migliaia 39 3 2 2 3" xfId="6991" xr:uid="{00000000-0005-0000-0000-0000390E0000}"/>
    <cellStyle name="Migliaia 39 3 2 2 4" xfId="5069" xr:uid="{00000000-0005-0000-0000-00003A0E0000}"/>
    <cellStyle name="Migliaia 39 3 2 3" xfId="3909" xr:uid="{00000000-0005-0000-0000-00003B0E0000}"/>
    <cellStyle name="Migliaia 39 3 2 4" xfId="6045" xr:uid="{00000000-0005-0000-0000-00003C0E0000}"/>
    <cellStyle name="Migliaia 39 3 2 5" xfId="6990" xr:uid="{00000000-0005-0000-0000-00003D0E0000}"/>
    <cellStyle name="Migliaia 39 3 2 6" xfId="5068" xr:uid="{00000000-0005-0000-0000-00003E0E0000}"/>
    <cellStyle name="Migliaia 39 3 3" xfId="1154" xr:uid="{00000000-0005-0000-0000-00003F0E0000}"/>
    <cellStyle name="Migliaia 39 3 3 2" xfId="2474" xr:uid="{00000000-0005-0000-0000-0000400E0000}"/>
    <cellStyle name="Migliaia 39 3 4" xfId="2473" xr:uid="{00000000-0005-0000-0000-0000410E0000}"/>
    <cellStyle name="Migliaia 39 3 5" xfId="3910" xr:uid="{00000000-0005-0000-0000-0000420E0000}"/>
    <cellStyle name="Migliaia 39 3 6" xfId="6044" xr:uid="{00000000-0005-0000-0000-0000430E0000}"/>
    <cellStyle name="Migliaia 39 3 7" xfId="6989" xr:uid="{00000000-0005-0000-0000-0000440E0000}"/>
    <cellStyle name="Migliaia 39 3 8" xfId="5067" xr:uid="{00000000-0005-0000-0000-0000450E0000}"/>
    <cellStyle name="Migliaia 39 4" xfId="1155" xr:uid="{00000000-0005-0000-0000-0000460E0000}"/>
    <cellStyle name="Migliaia 39 4 2" xfId="1156" xr:uid="{00000000-0005-0000-0000-0000470E0000}"/>
    <cellStyle name="Migliaia 39 4 2 2" xfId="2476" xr:uid="{00000000-0005-0000-0000-0000480E0000}"/>
    <cellStyle name="Migliaia 39 4 2 3" xfId="3911" xr:uid="{00000000-0005-0000-0000-0000490E0000}"/>
    <cellStyle name="Migliaia 39 4 2 4" xfId="6048" xr:uid="{00000000-0005-0000-0000-00004A0E0000}"/>
    <cellStyle name="Migliaia 39 4 2 5" xfId="6993" xr:uid="{00000000-0005-0000-0000-00004B0E0000}"/>
    <cellStyle name="Migliaia 39 4 2 6" xfId="5071" xr:uid="{00000000-0005-0000-0000-00004C0E0000}"/>
    <cellStyle name="Migliaia 39 4 3" xfId="2475" xr:uid="{00000000-0005-0000-0000-00004D0E0000}"/>
    <cellStyle name="Migliaia 39 4 4" xfId="3912" xr:uid="{00000000-0005-0000-0000-00004E0E0000}"/>
    <cellStyle name="Migliaia 39 4 5" xfId="6047" xr:uid="{00000000-0005-0000-0000-00004F0E0000}"/>
    <cellStyle name="Migliaia 39 4 6" xfId="6992" xr:uid="{00000000-0005-0000-0000-0000500E0000}"/>
    <cellStyle name="Migliaia 39 4 7" xfId="5070" xr:uid="{00000000-0005-0000-0000-0000510E0000}"/>
    <cellStyle name="Migliaia 39 5" xfId="1157" xr:uid="{00000000-0005-0000-0000-0000520E0000}"/>
    <cellStyle name="Migliaia 39 5 2" xfId="3913" xr:uid="{00000000-0005-0000-0000-0000530E0000}"/>
    <cellStyle name="Migliaia 39 5 3" xfId="6049" xr:uid="{00000000-0005-0000-0000-0000540E0000}"/>
    <cellStyle name="Migliaia 39 5 4" xfId="6994" xr:uid="{00000000-0005-0000-0000-0000550E0000}"/>
    <cellStyle name="Migliaia 39 5 5" xfId="5072" xr:uid="{00000000-0005-0000-0000-0000560E0000}"/>
    <cellStyle name="Migliaia 39 6" xfId="3914" xr:uid="{00000000-0005-0000-0000-0000570E0000}"/>
    <cellStyle name="Migliaia 39 7" xfId="6041" xr:uid="{00000000-0005-0000-0000-0000580E0000}"/>
    <cellStyle name="Migliaia 39 8" xfId="6986" xr:uid="{00000000-0005-0000-0000-0000590E0000}"/>
    <cellStyle name="Migliaia 39 9" xfId="5064" xr:uid="{00000000-0005-0000-0000-00005A0E0000}"/>
    <cellStyle name="Migliaia 4" xfId="178" xr:uid="{00000000-0005-0000-0000-00005B0E0000}"/>
    <cellStyle name="Migliaia 4 2" xfId="520" xr:uid="{00000000-0005-0000-0000-00005C0E0000}"/>
    <cellStyle name="Migliaia 4 2 2" xfId="2477" xr:uid="{00000000-0005-0000-0000-00005D0E0000}"/>
    <cellStyle name="Migliaia 4 2 2 2" xfId="3915" xr:uid="{00000000-0005-0000-0000-00005E0E0000}"/>
    <cellStyle name="Migliaia 4 2 2 3" xfId="6052" xr:uid="{00000000-0005-0000-0000-00005F0E0000}"/>
    <cellStyle name="Migliaia 4 2 2 4" xfId="6997" xr:uid="{00000000-0005-0000-0000-0000600E0000}"/>
    <cellStyle name="Migliaia 4 2 2 5" xfId="5075" xr:uid="{00000000-0005-0000-0000-0000610E0000}"/>
    <cellStyle name="Migliaia 4 2 3" xfId="3916" xr:uid="{00000000-0005-0000-0000-0000620E0000}"/>
    <cellStyle name="Migliaia 4 2 4" xfId="6051" xr:uid="{00000000-0005-0000-0000-0000630E0000}"/>
    <cellStyle name="Migliaia 4 2 5" xfId="6996" xr:uid="{00000000-0005-0000-0000-0000640E0000}"/>
    <cellStyle name="Migliaia 4 2 6" xfId="5074" xr:uid="{00000000-0005-0000-0000-0000650E0000}"/>
    <cellStyle name="Migliaia 4 3" xfId="1158" xr:uid="{00000000-0005-0000-0000-0000660E0000}"/>
    <cellStyle name="Migliaia 4 3 2" xfId="1159" xr:uid="{00000000-0005-0000-0000-0000670E0000}"/>
    <cellStyle name="Migliaia 4 3 2 2" xfId="3917" xr:uid="{00000000-0005-0000-0000-0000680E0000}"/>
    <cellStyle name="Migliaia 4 3 2 2 2" xfId="6055" xr:uid="{00000000-0005-0000-0000-0000690E0000}"/>
    <cellStyle name="Migliaia 4 3 2 2 3" xfId="7000" xr:uid="{00000000-0005-0000-0000-00006A0E0000}"/>
    <cellStyle name="Migliaia 4 3 2 2 4" xfId="5078" xr:uid="{00000000-0005-0000-0000-00006B0E0000}"/>
    <cellStyle name="Migliaia 4 3 2 3" xfId="3918" xr:uid="{00000000-0005-0000-0000-00006C0E0000}"/>
    <cellStyle name="Migliaia 4 3 2 4" xfId="6054" xr:uid="{00000000-0005-0000-0000-00006D0E0000}"/>
    <cellStyle name="Migliaia 4 3 2 5" xfId="6999" xr:uid="{00000000-0005-0000-0000-00006E0E0000}"/>
    <cellStyle name="Migliaia 4 3 2 6" xfId="5077" xr:uid="{00000000-0005-0000-0000-00006F0E0000}"/>
    <cellStyle name="Migliaia 4 3 3" xfId="1160" xr:uid="{00000000-0005-0000-0000-0000700E0000}"/>
    <cellStyle name="Migliaia 4 3 3 2" xfId="2479" xr:uid="{00000000-0005-0000-0000-0000710E0000}"/>
    <cellStyle name="Migliaia 4 3 4" xfId="2478" xr:uid="{00000000-0005-0000-0000-0000720E0000}"/>
    <cellStyle name="Migliaia 4 3 5" xfId="3919" xr:uid="{00000000-0005-0000-0000-0000730E0000}"/>
    <cellStyle name="Migliaia 4 3 6" xfId="6053" xr:uid="{00000000-0005-0000-0000-0000740E0000}"/>
    <cellStyle name="Migliaia 4 3 7" xfId="6998" xr:uid="{00000000-0005-0000-0000-0000750E0000}"/>
    <cellStyle name="Migliaia 4 3 8" xfId="5076" xr:uid="{00000000-0005-0000-0000-0000760E0000}"/>
    <cellStyle name="Migliaia 4 4" xfId="1161" xr:uid="{00000000-0005-0000-0000-0000770E0000}"/>
    <cellStyle name="Migliaia 4 4 2" xfId="1162" xr:uid="{00000000-0005-0000-0000-0000780E0000}"/>
    <cellStyle name="Migliaia 4 4 2 2" xfId="2481" xr:uid="{00000000-0005-0000-0000-0000790E0000}"/>
    <cellStyle name="Migliaia 4 4 2 3" xfId="3920" xr:uid="{00000000-0005-0000-0000-00007A0E0000}"/>
    <cellStyle name="Migliaia 4 4 2 4" xfId="6057" xr:uid="{00000000-0005-0000-0000-00007B0E0000}"/>
    <cellStyle name="Migliaia 4 4 2 5" xfId="7002" xr:uid="{00000000-0005-0000-0000-00007C0E0000}"/>
    <cellStyle name="Migliaia 4 4 2 6" xfId="5080" xr:uid="{00000000-0005-0000-0000-00007D0E0000}"/>
    <cellStyle name="Migliaia 4 4 3" xfId="2480" xr:uid="{00000000-0005-0000-0000-00007E0E0000}"/>
    <cellStyle name="Migliaia 4 4 4" xfId="3921" xr:uid="{00000000-0005-0000-0000-00007F0E0000}"/>
    <cellStyle name="Migliaia 4 4 5" xfId="6056" xr:uid="{00000000-0005-0000-0000-0000800E0000}"/>
    <cellStyle name="Migliaia 4 4 6" xfId="7001" xr:uid="{00000000-0005-0000-0000-0000810E0000}"/>
    <cellStyle name="Migliaia 4 4 7" xfId="5079" xr:uid="{00000000-0005-0000-0000-0000820E0000}"/>
    <cellStyle name="Migliaia 4 5" xfId="1163" xr:uid="{00000000-0005-0000-0000-0000830E0000}"/>
    <cellStyle name="Migliaia 4 5 2" xfId="3922" xr:uid="{00000000-0005-0000-0000-0000840E0000}"/>
    <cellStyle name="Migliaia 4 5 3" xfId="6058" xr:uid="{00000000-0005-0000-0000-0000850E0000}"/>
    <cellStyle name="Migliaia 4 5 4" xfId="7003" xr:uid="{00000000-0005-0000-0000-0000860E0000}"/>
    <cellStyle name="Migliaia 4 5 5" xfId="5081" xr:uid="{00000000-0005-0000-0000-0000870E0000}"/>
    <cellStyle name="Migliaia 4 6" xfId="3923" xr:uid="{00000000-0005-0000-0000-0000880E0000}"/>
    <cellStyle name="Migliaia 4 7" xfId="6050" xr:uid="{00000000-0005-0000-0000-0000890E0000}"/>
    <cellStyle name="Migliaia 4 8" xfId="6995" xr:uid="{00000000-0005-0000-0000-00008A0E0000}"/>
    <cellStyle name="Migliaia 4 9" xfId="5073" xr:uid="{00000000-0005-0000-0000-00008B0E0000}"/>
    <cellStyle name="Migliaia 40" xfId="179" xr:uid="{00000000-0005-0000-0000-00008C0E0000}"/>
    <cellStyle name="Migliaia 40 2" xfId="521" xr:uid="{00000000-0005-0000-0000-00008D0E0000}"/>
    <cellStyle name="Migliaia 40 2 2" xfId="2482" xr:uid="{00000000-0005-0000-0000-00008E0E0000}"/>
    <cellStyle name="Migliaia 40 2 2 2" xfId="3924" xr:uid="{00000000-0005-0000-0000-00008F0E0000}"/>
    <cellStyle name="Migliaia 40 2 2 3" xfId="6061" xr:uid="{00000000-0005-0000-0000-0000900E0000}"/>
    <cellStyle name="Migliaia 40 2 2 4" xfId="7006" xr:uid="{00000000-0005-0000-0000-0000910E0000}"/>
    <cellStyle name="Migliaia 40 2 2 5" xfId="5084" xr:uid="{00000000-0005-0000-0000-0000920E0000}"/>
    <cellStyle name="Migliaia 40 2 3" xfId="3925" xr:uid="{00000000-0005-0000-0000-0000930E0000}"/>
    <cellStyle name="Migliaia 40 2 4" xfId="6060" xr:uid="{00000000-0005-0000-0000-0000940E0000}"/>
    <cellStyle name="Migliaia 40 2 5" xfId="7005" xr:uid="{00000000-0005-0000-0000-0000950E0000}"/>
    <cellStyle name="Migliaia 40 2 6" xfId="5083" xr:uid="{00000000-0005-0000-0000-0000960E0000}"/>
    <cellStyle name="Migliaia 40 3" xfId="1164" xr:uid="{00000000-0005-0000-0000-0000970E0000}"/>
    <cellStyle name="Migliaia 40 3 2" xfId="1165" xr:uid="{00000000-0005-0000-0000-0000980E0000}"/>
    <cellStyle name="Migliaia 40 3 2 2" xfId="3926" xr:uid="{00000000-0005-0000-0000-0000990E0000}"/>
    <cellStyle name="Migliaia 40 3 2 2 2" xfId="6064" xr:uid="{00000000-0005-0000-0000-00009A0E0000}"/>
    <cellStyle name="Migliaia 40 3 2 2 3" xfId="7009" xr:uid="{00000000-0005-0000-0000-00009B0E0000}"/>
    <cellStyle name="Migliaia 40 3 2 2 4" xfId="5087" xr:uid="{00000000-0005-0000-0000-00009C0E0000}"/>
    <cellStyle name="Migliaia 40 3 2 3" xfId="3927" xr:uid="{00000000-0005-0000-0000-00009D0E0000}"/>
    <cellStyle name="Migliaia 40 3 2 4" xfId="6063" xr:uid="{00000000-0005-0000-0000-00009E0E0000}"/>
    <cellStyle name="Migliaia 40 3 2 5" xfId="7008" xr:uid="{00000000-0005-0000-0000-00009F0E0000}"/>
    <cellStyle name="Migliaia 40 3 2 6" xfId="5086" xr:uid="{00000000-0005-0000-0000-0000A00E0000}"/>
    <cellStyle name="Migliaia 40 3 3" xfId="1166" xr:uid="{00000000-0005-0000-0000-0000A10E0000}"/>
    <cellStyle name="Migliaia 40 3 3 2" xfId="2484" xr:uid="{00000000-0005-0000-0000-0000A20E0000}"/>
    <cellStyle name="Migliaia 40 3 4" xfId="2483" xr:uid="{00000000-0005-0000-0000-0000A30E0000}"/>
    <cellStyle name="Migliaia 40 3 5" xfId="3928" xr:uid="{00000000-0005-0000-0000-0000A40E0000}"/>
    <cellStyle name="Migliaia 40 3 6" xfId="6062" xr:uid="{00000000-0005-0000-0000-0000A50E0000}"/>
    <cellStyle name="Migliaia 40 3 7" xfId="7007" xr:uid="{00000000-0005-0000-0000-0000A60E0000}"/>
    <cellStyle name="Migliaia 40 3 8" xfId="5085" xr:uid="{00000000-0005-0000-0000-0000A70E0000}"/>
    <cellStyle name="Migliaia 40 4" xfId="1167" xr:uid="{00000000-0005-0000-0000-0000A80E0000}"/>
    <cellStyle name="Migliaia 40 4 2" xfId="1168" xr:uid="{00000000-0005-0000-0000-0000A90E0000}"/>
    <cellStyle name="Migliaia 40 4 2 2" xfId="2486" xr:uid="{00000000-0005-0000-0000-0000AA0E0000}"/>
    <cellStyle name="Migliaia 40 4 2 3" xfId="3929" xr:uid="{00000000-0005-0000-0000-0000AB0E0000}"/>
    <cellStyle name="Migliaia 40 4 2 4" xfId="6066" xr:uid="{00000000-0005-0000-0000-0000AC0E0000}"/>
    <cellStyle name="Migliaia 40 4 2 5" xfId="7011" xr:uid="{00000000-0005-0000-0000-0000AD0E0000}"/>
    <cellStyle name="Migliaia 40 4 2 6" xfId="5089" xr:uid="{00000000-0005-0000-0000-0000AE0E0000}"/>
    <cellStyle name="Migliaia 40 4 3" xfId="2485" xr:uid="{00000000-0005-0000-0000-0000AF0E0000}"/>
    <cellStyle name="Migliaia 40 4 4" xfId="3930" xr:uid="{00000000-0005-0000-0000-0000B00E0000}"/>
    <cellStyle name="Migliaia 40 4 5" xfId="6065" xr:uid="{00000000-0005-0000-0000-0000B10E0000}"/>
    <cellStyle name="Migliaia 40 4 6" xfId="7010" xr:uid="{00000000-0005-0000-0000-0000B20E0000}"/>
    <cellStyle name="Migliaia 40 4 7" xfId="5088" xr:uid="{00000000-0005-0000-0000-0000B30E0000}"/>
    <cellStyle name="Migliaia 40 5" xfId="1169" xr:uid="{00000000-0005-0000-0000-0000B40E0000}"/>
    <cellStyle name="Migliaia 40 5 2" xfId="3931" xr:uid="{00000000-0005-0000-0000-0000B50E0000}"/>
    <cellStyle name="Migliaia 40 5 3" xfId="6067" xr:uid="{00000000-0005-0000-0000-0000B60E0000}"/>
    <cellStyle name="Migliaia 40 5 4" xfId="7012" xr:uid="{00000000-0005-0000-0000-0000B70E0000}"/>
    <cellStyle name="Migliaia 40 5 5" xfId="5090" xr:uid="{00000000-0005-0000-0000-0000B80E0000}"/>
    <cellStyle name="Migliaia 40 6" xfId="3932" xr:uid="{00000000-0005-0000-0000-0000B90E0000}"/>
    <cellStyle name="Migliaia 40 7" xfId="6059" xr:uid="{00000000-0005-0000-0000-0000BA0E0000}"/>
    <cellStyle name="Migliaia 40 8" xfId="7004" xr:uid="{00000000-0005-0000-0000-0000BB0E0000}"/>
    <cellStyle name="Migliaia 40 9" xfId="5082" xr:uid="{00000000-0005-0000-0000-0000BC0E0000}"/>
    <cellStyle name="Migliaia 41" xfId="180" xr:uid="{00000000-0005-0000-0000-0000BD0E0000}"/>
    <cellStyle name="Migliaia 41 2" xfId="522" xr:uid="{00000000-0005-0000-0000-0000BE0E0000}"/>
    <cellStyle name="Migliaia 41 2 2" xfId="2487" xr:uid="{00000000-0005-0000-0000-0000BF0E0000}"/>
    <cellStyle name="Migliaia 41 2 2 2" xfId="3933" xr:uid="{00000000-0005-0000-0000-0000C00E0000}"/>
    <cellStyle name="Migliaia 41 2 2 3" xfId="6070" xr:uid="{00000000-0005-0000-0000-0000C10E0000}"/>
    <cellStyle name="Migliaia 41 2 2 4" xfId="7015" xr:uid="{00000000-0005-0000-0000-0000C20E0000}"/>
    <cellStyle name="Migliaia 41 2 2 5" xfId="5093" xr:uid="{00000000-0005-0000-0000-0000C30E0000}"/>
    <cellStyle name="Migliaia 41 2 3" xfId="3934" xr:uid="{00000000-0005-0000-0000-0000C40E0000}"/>
    <cellStyle name="Migliaia 41 2 4" xfId="6069" xr:uid="{00000000-0005-0000-0000-0000C50E0000}"/>
    <cellStyle name="Migliaia 41 2 5" xfId="7014" xr:uid="{00000000-0005-0000-0000-0000C60E0000}"/>
    <cellStyle name="Migliaia 41 2 6" xfId="5092" xr:uid="{00000000-0005-0000-0000-0000C70E0000}"/>
    <cellStyle name="Migliaia 41 3" xfId="1170" xr:uid="{00000000-0005-0000-0000-0000C80E0000}"/>
    <cellStyle name="Migliaia 41 3 2" xfId="1171" xr:uid="{00000000-0005-0000-0000-0000C90E0000}"/>
    <cellStyle name="Migliaia 41 3 2 2" xfId="3935" xr:uid="{00000000-0005-0000-0000-0000CA0E0000}"/>
    <cellStyle name="Migliaia 41 3 2 2 2" xfId="6073" xr:uid="{00000000-0005-0000-0000-0000CB0E0000}"/>
    <cellStyle name="Migliaia 41 3 2 2 3" xfId="7018" xr:uid="{00000000-0005-0000-0000-0000CC0E0000}"/>
    <cellStyle name="Migliaia 41 3 2 2 4" xfId="5096" xr:uid="{00000000-0005-0000-0000-0000CD0E0000}"/>
    <cellStyle name="Migliaia 41 3 2 3" xfId="3936" xr:uid="{00000000-0005-0000-0000-0000CE0E0000}"/>
    <cellStyle name="Migliaia 41 3 2 4" xfId="6072" xr:uid="{00000000-0005-0000-0000-0000CF0E0000}"/>
    <cellStyle name="Migliaia 41 3 2 5" xfId="7017" xr:uid="{00000000-0005-0000-0000-0000D00E0000}"/>
    <cellStyle name="Migliaia 41 3 2 6" xfId="5095" xr:uid="{00000000-0005-0000-0000-0000D10E0000}"/>
    <cellStyle name="Migliaia 41 3 3" xfId="1172" xr:uid="{00000000-0005-0000-0000-0000D20E0000}"/>
    <cellStyle name="Migliaia 41 3 3 2" xfId="2489" xr:uid="{00000000-0005-0000-0000-0000D30E0000}"/>
    <cellStyle name="Migliaia 41 3 4" xfId="2488" xr:uid="{00000000-0005-0000-0000-0000D40E0000}"/>
    <cellStyle name="Migliaia 41 3 5" xfId="3937" xr:uid="{00000000-0005-0000-0000-0000D50E0000}"/>
    <cellStyle name="Migliaia 41 3 6" xfId="6071" xr:uid="{00000000-0005-0000-0000-0000D60E0000}"/>
    <cellStyle name="Migliaia 41 3 7" xfId="7016" xr:uid="{00000000-0005-0000-0000-0000D70E0000}"/>
    <cellStyle name="Migliaia 41 3 8" xfId="5094" xr:uid="{00000000-0005-0000-0000-0000D80E0000}"/>
    <cellStyle name="Migliaia 41 4" xfId="1173" xr:uid="{00000000-0005-0000-0000-0000D90E0000}"/>
    <cellStyle name="Migliaia 41 4 2" xfId="1174" xr:uid="{00000000-0005-0000-0000-0000DA0E0000}"/>
    <cellStyle name="Migliaia 41 4 2 2" xfId="2491" xr:uid="{00000000-0005-0000-0000-0000DB0E0000}"/>
    <cellStyle name="Migliaia 41 4 2 3" xfId="3938" xr:uid="{00000000-0005-0000-0000-0000DC0E0000}"/>
    <cellStyle name="Migliaia 41 4 2 4" xfId="6075" xr:uid="{00000000-0005-0000-0000-0000DD0E0000}"/>
    <cellStyle name="Migliaia 41 4 2 5" xfId="7020" xr:uid="{00000000-0005-0000-0000-0000DE0E0000}"/>
    <cellStyle name="Migliaia 41 4 2 6" xfId="5098" xr:uid="{00000000-0005-0000-0000-0000DF0E0000}"/>
    <cellStyle name="Migliaia 41 4 3" xfId="2490" xr:uid="{00000000-0005-0000-0000-0000E00E0000}"/>
    <cellStyle name="Migliaia 41 4 4" xfId="3939" xr:uid="{00000000-0005-0000-0000-0000E10E0000}"/>
    <cellStyle name="Migliaia 41 4 5" xfId="6074" xr:uid="{00000000-0005-0000-0000-0000E20E0000}"/>
    <cellStyle name="Migliaia 41 4 6" xfId="7019" xr:uid="{00000000-0005-0000-0000-0000E30E0000}"/>
    <cellStyle name="Migliaia 41 4 7" xfId="5097" xr:uid="{00000000-0005-0000-0000-0000E40E0000}"/>
    <cellStyle name="Migliaia 41 5" xfId="1175" xr:uid="{00000000-0005-0000-0000-0000E50E0000}"/>
    <cellStyle name="Migliaia 41 5 2" xfId="3940" xr:uid="{00000000-0005-0000-0000-0000E60E0000}"/>
    <cellStyle name="Migliaia 41 5 3" xfId="6076" xr:uid="{00000000-0005-0000-0000-0000E70E0000}"/>
    <cellStyle name="Migliaia 41 5 4" xfId="7021" xr:uid="{00000000-0005-0000-0000-0000E80E0000}"/>
    <cellStyle name="Migliaia 41 5 5" xfId="5099" xr:uid="{00000000-0005-0000-0000-0000E90E0000}"/>
    <cellStyle name="Migliaia 41 6" xfId="3941" xr:uid="{00000000-0005-0000-0000-0000EA0E0000}"/>
    <cellStyle name="Migliaia 41 7" xfId="6068" xr:uid="{00000000-0005-0000-0000-0000EB0E0000}"/>
    <cellStyle name="Migliaia 41 8" xfId="7013" xr:uid="{00000000-0005-0000-0000-0000EC0E0000}"/>
    <cellStyle name="Migliaia 41 9" xfId="5091" xr:uid="{00000000-0005-0000-0000-0000ED0E0000}"/>
    <cellStyle name="Migliaia 42" xfId="181" xr:uid="{00000000-0005-0000-0000-0000EE0E0000}"/>
    <cellStyle name="Migliaia 42 2" xfId="523" xr:uid="{00000000-0005-0000-0000-0000EF0E0000}"/>
    <cellStyle name="Migliaia 42 2 2" xfId="2492" xr:uid="{00000000-0005-0000-0000-0000F00E0000}"/>
    <cellStyle name="Migliaia 42 2 2 2" xfId="3942" xr:uid="{00000000-0005-0000-0000-0000F10E0000}"/>
    <cellStyle name="Migliaia 42 2 2 3" xfId="6079" xr:uid="{00000000-0005-0000-0000-0000F20E0000}"/>
    <cellStyle name="Migliaia 42 2 2 4" xfId="7024" xr:uid="{00000000-0005-0000-0000-0000F30E0000}"/>
    <cellStyle name="Migliaia 42 2 2 5" xfId="5102" xr:uid="{00000000-0005-0000-0000-0000F40E0000}"/>
    <cellStyle name="Migliaia 42 2 3" xfId="3943" xr:uid="{00000000-0005-0000-0000-0000F50E0000}"/>
    <cellStyle name="Migliaia 42 2 4" xfId="6078" xr:uid="{00000000-0005-0000-0000-0000F60E0000}"/>
    <cellStyle name="Migliaia 42 2 5" xfId="7023" xr:uid="{00000000-0005-0000-0000-0000F70E0000}"/>
    <cellStyle name="Migliaia 42 2 6" xfId="5101" xr:uid="{00000000-0005-0000-0000-0000F80E0000}"/>
    <cellStyle name="Migliaia 42 3" xfId="1176" xr:uid="{00000000-0005-0000-0000-0000F90E0000}"/>
    <cellStyle name="Migliaia 42 3 2" xfId="1177" xr:uid="{00000000-0005-0000-0000-0000FA0E0000}"/>
    <cellStyle name="Migliaia 42 3 2 2" xfId="3944" xr:uid="{00000000-0005-0000-0000-0000FB0E0000}"/>
    <cellStyle name="Migliaia 42 3 2 2 2" xfId="6082" xr:uid="{00000000-0005-0000-0000-0000FC0E0000}"/>
    <cellStyle name="Migliaia 42 3 2 2 3" xfId="7027" xr:uid="{00000000-0005-0000-0000-0000FD0E0000}"/>
    <cellStyle name="Migliaia 42 3 2 2 4" xfId="5105" xr:uid="{00000000-0005-0000-0000-0000FE0E0000}"/>
    <cellStyle name="Migliaia 42 3 2 3" xfId="3945" xr:uid="{00000000-0005-0000-0000-0000FF0E0000}"/>
    <cellStyle name="Migliaia 42 3 2 4" xfId="6081" xr:uid="{00000000-0005-0000-0000-0000000F0000}"/>
    <cellStyle name="Migliaia 42 3 2 5" xfId="7026" xr:uid="{00000000-0005-0000-0000-0000010F0000}"/>
    <cellStyle name="Migliaia 42 3 2 6" xfId="5104" xr:uid="{00000000-0005-0000-0000-0000020F0000}"/>
    <cellStyle name="Migliaia 42 3 3" xfId="1178" xr:uid="{00000000-0005-0000-0000-0000030F0000}"/>
    <cellStyle name="Migliaia 42 3 3 2" xfId="2494" xr:uid="{00000000-0005-0000-0000-0000040F0000}"/>
    <cellStyle name="Migliaia 42 3 4" xfId="2493" xr:uid="{00000000-0005-0000-0000-0000050F0000}"/>
    <cellStyle name="Migliaia 42 3 5" xfId="3946" xr:uid="{00000000-0005-0000-0000-0000060F0000}"/>
    <cellStyle name="Migliaia 42 3 6" xfId="6080" xr:uid="{00000000-0005-0000-0000-0000070F0000}"/>
    <cellStyle name="Migliaia 42 3 7" xfId="7025" xr:uid="{00000000-0005-0000-0000-0000080F0000}"/>
    <cellStyle name="Migliaia 42 3 8" xfId="5103" xr:uid="{00000000-0005-0000-0000-0000090F0000}"/>
    <cellStyle name="Migliaia 42 4" xfId="1179" xr:uid="{00000000-0005-0000-0000-00000A0F0000}"/>
    <cellStyle name="Migliaia 42 4 2" xfId="1180" xr:uid="{00000000-0005-0000-0000-00000B0F0000}"/>
    <cellStyle name="Migliaia 42 4 2 2" xfId="2496" xr:uid="{00000000-0005-0000-0000-00000C0F0000}"/>
    <cellStyle name="Migliaia 42 4 2 3" xfId="3947" xr:uid="{00000000-0005-0000-0000-00000D0F0000}"/>
    <cellStyle name="Migliaia 42 4 2 4" xfId="6084" xr:uid="{00000000-0005-0000-0000-00000E0F0000}"/>
    <cellStyle name="Migliaia 42 4 2 5" xfId="7029" xr:uid="{00000000-0005-0000-0000-00000F0F0000}"/>
    <cellStyle name="Migliaia 42 4 2 6" xfId="5107" xr:uid="{00000000-0005-0000-0000-0000100F0000}"/>
    <cellStyle name="Migliaia 42 4 3" xfId="2495" xr:uid="{00000000-0005-0000-0000-0000110F0000}"/>
    <cellStyle name="Migliaia 42 4 4" xfId="3948" xr:uid="{00000000-0005-0000-0000-0000120F0000}"/>
    <cellStyle name="Migliaia 42 4 5" xfId="6083" xr:uid="{00000000-0005-0000-0000-0000130F0000}"/>
    <cellStyle name="Migliaia 42 4 6" xfId="7028" xr:uid="{00000000-0005-0000-0000-0000140F0000}"/>
    <cellStyle name="Migliaia 42 4 7" xfId="5106" xr:uid="{00000000-0005-0000-0000-0000150F0000}"/>
    <cellStyle name="Migliaia 42 5" xfId="1181" xr:uid="{00000000-0005-0000-0000-0000160F0000}"/>
    <cellStyle name="Migliaia 42 5 2" xfId="3949" xr:uid="{00000000-0005-0000-0000-0000170F0000}"/>
    <cellStyle name="Migliaia 42 5 3" xfId="6085" xr:uid="{00000000-0005-0000-0000-0000180F0000}"/>
    <cellStyle name="Migliaia 42 5 4" xfId="7030" xr:uid="{00000000-0005-0000-0000-0000190F0000}"/>
    <cellStyle name="Migliaia 42 5 5" xfId="5108" xr:uid="{00000000-0005-0000-0000-00001A0F0000}"/>
    <cellStyle name="Migliaia 42 6" xfId="3950" xr:uid="{00000000-0005-0000-0000-00001B0F0000}"/>
    <cellStyle name="Migliaia 42 7" xfId="6077" xr:uid="{00000000-0005-0000-0000-00001C0F0000}"/>
    <cellStyle name="Migliaia 42 8" xfId="7022" xr:uid="{00000000-0005-0000-0000-00001D0F0000}"/>
    <cellStyle name="Migliaia 42 9" xfId="5100" xr:uid="{00000000-0005-0000-0000-00001E0F0000}"/>
    <cellStyle name="Migliaia 43" xfId="182" xr:uid="{00000000-0005-0000-0000-00001F0F0000}"/>
    <cellStyle name="Migliaia 43 2" xfId="524" xr:uid="{00000000-0005-0000-0000-0000200F0000}"/>
    <cellStyle name="Migliaia 43 2 2" xfId="2497" xr:uid="{00000000-0005-0000-0000-0000210F0000}"/>
    <cellStyle name="Migliaia 43 2 2 2" xfId="3951" xr:uid="{00000000-0005-0000-0000-0000220F0000}"/>
    <cellStyle name="Migliaia 43 2 2 3" xfId="6088" xr:uid="{00000000-0005-0000-0000-0000230F0000}"/>
    <cellStyle name="Migliaia 43 2 2 4" xfId="7033" xr:uid="{00000000-0005-0000-0000-0000240F0000}"/>
    <cellStyle name="Migliaia 43 2 2 5" xfId="5111" xr:uid="{00000000-0005-0000-0000-0000250F0000}"/>
    <cellStyle name="Migliaia 43 2 3" xfId="3952" xr:uid="{00000000-0005-0000-0000-0000260F0000}"/>
    <cellStyle name="Migliaia 43 2 4" xfId="6087" xr:uid="{00000000-0005-0000-0000-0000270F0000}"/>
    <cellStyle name="Migliaia 43 2 5" xfId="7032" xr:uid="{00000000-0005-0000-0000-0000280F0000}"/>
    <cellStyle name="Migliaia 43 2 6" xfId="5110" xr:uid="{00000000-0005-0000-0000-0000290F0000}"/>
    <cellStyle name="Migliaia 43 3" xfId="1182" xr:uid="{00000000-0005-0000-0000-00002A0F0000}"/>
    <cellStyle name="Migliaia 43 3 2" xfId="1183" xr:uid="{00000000-0005-0000-0000-00002B0F0000}"/>
    <cellStyle name="Migliaia 43 3 2 2" xfId="3953" xr:uid="{00000000-0005-0000-0000-00002C0F0000}"/>
    <cellStyle name="Migliaia 43 3 2 2 2" xfId="6091" xr:uid="{00000000-0005-0000-0000-00002D0F0000}"/>
    <cellStyle name="Migliaia 43 3 2 2 3" xfId="7036" xr:uid="{00000000-0005-0000-0000-00002E0F0000}"/>
    <cellStyle name="Migliaia 43 3 2 2 4" xfId="5114" xr:uid="{00000000-0005-0000-0000-00002F0F0000}"/>
    <cellStyle name="Migliaia 43 3 2 3" xfId="3954" xr:uid="{00000000-0005-0000-0000-0000300F0000}"/>
    <cellStyle name="Migliaia 43 3 2 4" xfId="6090" xr:uid="{00000000-0005-0000-0000-0000310F0000}"/>
    <cellStyle name="Migliaia 43 3 2 5" xfId="7035" xr:uid="{00000000-0005-0000-0000-0000320F0000}"/>
    <cellStyle name="Migliaia 43 3 2 6" xfId="5113" xr:uid="{00000000-0005-0000-0000-0000330F0000}"/>
    <cellStyle name="Migliaia 43 3 3" xfId="1184" xr:uid="{00000000-0005-0000-0000-0000340F0000}"/>
    <cellStyle name="Migliaia 43 3 3 2" xfId="2499" xr:uid="{00000000-0005-0000-0000-0000350F0000}"/>
    <cellStyle name="Migliaia 43 3 4" xfId="2498" xr:uid="{00000000-0005-0000-0000-0000360F0000}"/>
    <cellStyle name="Migliaia 43 3 5" xfId="3955" xr:uid="{00000000-0005-0000-0000-0000370F0000}"/>
    <cellStyle name="Migliaia 43 3 6" xfId="6089" xr:uid="{00000000-0005-0000-0000-0000380F0000}"/>
    <cellStyle name="Migliaia 43 3 7" xfId="7034" xr:uid="{00000000-0005-0000-0000-0000390F0000}"/>
    <cellStyle name="Migliaia 43 3 8" xfId="5112" xr:uid="{00000000-0005-0000-0000-00003A0F0000}"/>
    <cellStyle name="Migliaia 43 4" xfId="1185" xr:uid="{00000000-0005-0000-0000-00003B0F0000}"/>
    <cellStyle name="Migliaia 43 4 2" xfId="1186" xr:uid="{00000000-0005-0000-0000-00003C0F0000}"/>
    <cellStyle name="Migliaia 43 4 2 2" xfId="2501" xr:uid="{00000000-0005-0000-0000-00003D0F0000}"/>
    <cellStyle name="Migliaia 43 4 2 3" xfId="3956" xr:uid="{00000000-0005-0000-0000-00003E0F0000}"/>
    <cellStyle name="Migliaia 43 4 2 4" xfId="6093" xr:uid="{00000000-0005-0000-0000-00003F0F0000}"/>
    <cellStyle name="Migliaia 43 4 2 5" xfId="7038" xr:uid="{00000000-0005-0000-0000-0000400F0000}"/>
    <cellStyle name="Migliaia 43 4 2 6" xfId="5116" xr:uid="{00000000-0005-0000-0000-0000410F0000}"/>
    <cellStyle name="Migliaia 43 4 3" xfId="2500" xr:uid="{00000000-0005-0000-0000-0000420F0000}"/>
    <cellStyle name="Migliaia 43 4 4" xfId="3957" xr:uid="{00000000-0005-0000-0000-0000430F0000}"/>
    <cellStyle name="Migliaia 43 4 5" xfId="6092" xr:uid="{00000000-0005-0000-0000-0000440F0000}"/>
    <cellStyle name="Migliaia 43 4 6" xfId="7037" xr:uid="{00000000-0005-0000-0000-0000450F0000}"/>
    <cellStyle name="Migliaia 43 4 7" xfId="5115" xr:uid="{00000000-0005-0000-0000-0000460F0000}"/>
    <cellStyle name="Migliaia 43 5" xfId="1187" xr:uid="{00000000-0005-0000-0000-0000470F0000}"/>
    <cellStyle name="Migliaia 43 5 2" xfId="3958" xr:uid="{00000000-0005-0000-0000-0000480F0000}"/>
    <cellStyle name="Migliaia 43 5 3" xfId="6094" xr:uid="{00000000-0005-0000-0000-0000490F0000}"/>
    <cellStyle name="Migliaia 43 5 4" xfId="7039" xr:uid="{00000000-0005-0000-0000-00004A0F0000}"/>
    <cellStyle name="Migliaia 43 5 5" xfId="5117" xr:uid="{00000000-0005-0000-0000-00004B0F0000}"/>
    <cellStyle name="Migliaia 43 6" xfId="3959" xr:uid="{00000000-0005-0000-0000-00004C0F0000}"/>
    <cellStyle name="Migliaia 43 7" xfId="6086" xr:uid="{00000000-0005-0000-0000-00004D0F0000}"/>
    <cellStyle name="Migliaia 43 8" xfId="7031" xr:uid="{00000000-0005-0000-0000-00004E0F0000}"/>
    <cellStyle name="Migliaia 43 9" xfId="5109" xr:uid="{00000000-0005-0000-0000-00004F0F0000}"/>
    <cellStyle name="Migliaia 44" xfId="183" xr:uid="{00000000-0005-0000-0000-0000500F0000}"/>
    <cellStyle name="Migliaia 44 2" xfId="525" xr:uid="{00000000-0005-0000-0000-0000510F0000}"/>
    <cellStyle name="Migliaia 44 2 2" xfId="2502" xr:uid="{00000000-0005-0000-0000-0000520F0000}"/>
    <cellStyle name="Migliaia 44 2 2 2" xfId="3960" xr:uid="{00000000-0005-0000-0000-0000530F0000}"/>
    <cellStyle name="Migliaia 44 2 2 3" xfId="6097" xr:uid="{00000000-0005-0000-0000-0000540F0000}"/>
    <cellStyle name="Migliaia 44 2 2 4" xfId="7042" xr:uid="{00000000-0005-0000-0000-0000550F0000}"/>
    <cellStyle name="Migliaia 44 2 2 5" xfId="5120" xr:uid="{00000000-0005-0000-0000-0000560F0000}"/>
    <cellStyle name="Migliaia 44 2 3" xfId="3961" xr:uid="{00000000-0005-0000-0000-0000570F0000}"/>
    <cellStyle name="Migliaia 44 2 4" xfId="6096" xr:uid="{00000000-0005-0000-0000-0000580F0000}"/>
    <cellStyle name="Migliaia 44 2 5" xfId="7041" xr:uid="{00000000-0005-0000-0000-0000590F0000}"/>
    <cellStyle name="Migliaia 44 2 6" xfId="5119" xr:uid="{00000000-0005-0000-0000-00005A0F0000}"/>
    <cellStyle name="Migliaia 44 3" xfId="1188" xr:uid="{00000000-0005-0000-0000-00005B0F0000}"/>
    <cellStyle name="Migliaia 44 3 2" xfId="1189" xr:uid="{00000000-0005-0000-0000-00005C0F0000}"/>
    <cellStyle name="Migliaia 44 3 2 2" xfId="3962" xr:uid="{00000000-0005-0000-0000-00005D0F0000}"/>
    <cellStyle name="Migliaia 44 3 2 2 2" xfId="6100" xr:uid="{00000000-0005-0000-0000-00005E0F0000}"/>
    <cellStyle name="Migliaia 44 3 2 2 3" xfId="7045" xr:uid="{00000000-0005-0000-0000-00005F0F0000}"/>
    <cellStyle name="Migliaia 44 3 2 2 4" xfId="5123" xr:uid="{00000000-0005-0000-0000-0000600F0000}"/>
    <cellStyle name="Migliaia 44 3 2 3" xfId="3963" xr:uid="{00000000-0005-0000-0000-0000610F0000}"/>
    <cellStyle name="Migliaia 44 3 2 4" xfId="6099" xr:uid="{00000000-0005-0000-0000-0000620F0000}"/>
    <cellStyle name="Migliaia 44 3 2 5" xfId="7044" xr:uid="{00000000-0005-0000-0000-0000630F0000}"/>
    <cellStyle name="Migliaia 44 3 2 6" xfId="5122" xr:uid="{00000000-0005-0000-0000-0000640F0000}"/>
    <cellStyle name="Migliaia 44 3 3" xfId="1190" xr:uid="{00000000-0005-0000-0000-0000650F0000}"/>
    <cellStyle name="Migliaia 44 3 3 2" xfId="2504" xr:uid="{00000000-0005-0000-0000-0000660F0000}"/>
    <cellStyle name="Migliaia 44 3 4" xfId="2503" xr:uid="{00000000-0005-0000-0000-0000670F0000}"/>
    <cellStyle name="Migliaia 44 3 5" xfId="3964" xr:uid="{00000000-0005-0000-0000-0000680F0000}"/>
    <cellStyle name="Migliaia 44 3 6" xfId="6098" xr:uid="{00000000-0005-0000-0000-0000690F0000}"/>
    <cellStyle name="Migliaia 44 3 7" xfId="7043" xr:uid="{00000000-0005-0000-0000-00006A0F0000}"/>
    <cellStyle name="Migliaia 44 3 8" xfId="5121" xr:uid="{00000000-0005-0000-0000-00006B0F0000}"/>
    <cellStyle name="Migliaia 44 4" xfId="1191" xr:uid="{00000000-0005-0000-0000-00006C0F0000}"/>
    <cellStyle name="Migliaia 44 4 2" xfId="1192" xr:uid="{00000000-0005-0000-0000-00006D0F0000}"/>
    <cellStyle name="Migliaia 44 4 2 2" xfId="2506" xr:uid="{00000000-0005-0000-0000-00006E0F0000}"/>
    <cellStyle name="Migliaia 44 4 2 3" xfId="3965" xr:uid="{00000000-0005-0000-0000-00006F0F0000}"/>
    <cellStyle name="Migliaia 44 4 2 4" xfId="6102" xr:uid="{00000000-0005-0000-0000-0000700F0000}"/>
    <cellStyle name="Migliaia 44 4 2 5" xfId="7047" xr:uid="{00000000-0005-0000-0000-0000710F0000}"/>
    <cellStyle name="Migliaia 44 4 2 6" xfId="5125" xr:uid="{00000000-0005-0000-0000-0000720F0000}"/>
    <cellStyle name="Migliaia 44 4 3" xfId="2505" xr:uid="{00000000-0005-0000-0000-0000730F0000}"/>
    <cellStyle name="Migliaia 44 4 4" xfId="3966" xr:uid="{00000000-0005-0000-0000-0000740F0000}"/>
    <cellStyle name="Migliaia 44 4 5" xfId="6101" xr:uid="{00000000-0005-0000-0000-0000750F0000}"/>
    <cellStyle name="Migliaia 44 4 6" xfId="7046" xr:uid="{00000000-0005-0000-0000-0000760F0000}"/>
    <cellStyle name="Migliaia 44 4 7" xfId="5124" xr:uid="{00000000-0005-0000-0000-0000770F0000}"/>
    <cellStyle name="Migliaia 44 5" xfId="1193" xr:uid="{00000000-0005-0000-0000-0000780F0000}"/>
    <cellStyle name="Migliaia 44 5 2" xfId="3967" xr:uid="{00000000-0005-0000-0000-0000790F0000}"/>
    <cellStyle name="Migliaia 44 5 3" xfId="6103" xr:uid="{00000000-0005-0000-0000-00007A0F0000}"/>
    <cellStyle name="Migliaia 44 5 4" xfId="7048" xr:uid="{00000000-0005-0000-0000-00007B0F0000}"/>
    <cellStyle name="Migliaia 44 5 5" xfId="5126" xr:uid="{00000000-0005-0000-0000-00007C0F0000}"/>
    <cellStyle name="Migliaia 44 6" xfId="3968" xr:uid="{00000000-0005-0000-0000-00007D0F0000}"/>
    <cellStyle name="Migliaia 44 7" xfId="6095" xr:uid="{00000000-0005-0000-0000-00007E0F0000}"/>
    <cellStyle name="Migliaia 44 8" xfId="7040" xr:uid="{00000000-0005-0000-0000-00007F0F0000}"/>
    <cellStyle name="Migliaia 44 9" xfId="5118" xr:uid="{00000000-0005-0000-0000-0000800F0000}"/>
    <cellStyle name="Migliaia 45" xfId="184" xr:uid="{00000000-0005-0000-0000-0000810F0000}"/>
    <cellStyle name="Migliaia 45 2" xfId="526" xr:uid="{00000000-0005-0000-0000-0000820F0000}"/>
    <cellStyle name="Migliaia 45 2 2" xfId="2507" xr:uid="{00000000-0005-0000-0000-0000830F0000}"/>
    <cellStyle name="Migliaia 45 2 2 2" xfId="3969" xr:uid="{00000000-0005-0000-0000-0000840F0000}"/>
    <cellStyle name="Migliaia 45 2 2 3" xfId="6106" xr:uid="{00000000-0005-0000-0000-0000850F0000}"/>
    <cellStyle name="Migliaia 45 2 2 4" xfId="7051" xr:uid="{00000000-0005-0000-0000-0000860F0000}"/>
    <cellStyle name="Migliaia 45 2 2 5" xfId="5129" xr:uid="{00000000-0005-0000-0000-0000870F0000}"/>
    <cellStyle name="Migliaia 45 2 3" xfId="3970" xr:uid="{00000000-0005-0000-0000-0000880F0000}"/>
    <cellStyle name="Migliaia 45 2 4" xfId="6105" xr:uid="{00000000-0005-0000-0000-0000890F0000}"/>
    <cellStyle name="Migliaia 45 2 5" xfId="7050" xr:uid="{00000000-0005-0000-0000-00008A0F0000}"/>
    <cellStyle name="Migliaia 45 2 6" xfId="5128" xr:uid="{00000000-0005-0000-0000-00008B0F0000}"/>
    <cellStyle name="Migliaia 45 3" xfId="1194" xr:uid="{00000000-0005-0000-0000-00008C0F0000}"/>
    <cellStyle name="Migliaia 45 3 2" xfId="1195" xr:uid="{00000000-0005-0000-0000-00008D0F0000}"/>
    <cellStyle name="Migliaia 45 3 2 2" xfId="3971" xr:uid="{00000000-0005-0000-0000-00008E0F0000}"/>
    <cellStyle name="Migliaia 45 3 2 2 2" xfId="6109" xr:uid="{00000000-0005-0000-0000-00008F0F0000}"/>
    <cellStyle name="Migliaia 45 3 2 2 3" xfId="7054" xr:uid="{00000000-0005-0000-0000-0000900F0000}"/>
    <cellStyle name="Migliaia 45 3 2 2 4" xfId="5132" xr:uid="{00000000-0005-0000-0000-0000910F0000}"/>
    <cellStyle name="Migliaia 45 3 2 3" xfId="3972" xr:uid="{00000000-0005-0000-0000-0000920F0000}"/>
    <cellStyle name="Migliaia 45 3 2 4" xfId="6108" xr:uid="{00000000-0005-0000-0000-0000930F0000}"/>
    <cellStyle name="Migliaia 45 3 2 5" xfId="7053" xr:uid="{00000000-0005-0000-0000-0000940F0000}"/>
    <cellStyle name="Migliaia 45 3 2 6" xfId="5131" xr:uid="{00000000-0005-0000-0000-0000950F0000}"/>
    <cellStyle name="Migliaia 45 3 3" xfId="1196" xr:uid="{00000000-0005-0000-0000-0000960F0000}"/>
    <cellStyle name="Migliaia 45 3 3 2" xfId="2509" xr:uid="{00000000-0005-0000-0000-0000970F0000}"/>
    <cellStyle name="Migliaia 45 3 4" xfId="2508" xr:uid="{00000000-0005-0000-0000-0000980F0000}"/>
    <cellStyle name="Migliaia 45 3 5" xfId="3973" xr:uid="{00000000-0005-0000-0000-0000990F0000}"/>
    <cellStyle name="Migliaia 45 3 6" xfId="6107" xr:uid="{00000000-0005-0000-0000-00009A0F0000}"/>
    <cellStyle name="Migliaia 45 3 7" xfId="7052" xr:uid="{00000000-0005-0000-0000-00009B0F0000}"/>
    <cellStyle name="Migliaia 45 3 8" xfId="5130" xr:uid="{00000000-0005-0000-0000-00009C0F0000}"/>
    <cellStyle name="Migliaia 45 4" xfId="1197" xr:uid="{00000000-0005-0000-0000-00009D0F0000}"/>
    <cellStyle name="Migliaia 45 4 2" xfId="1198" xr:uid="{00000000-0005-0000-0000-00009E0F0000}"/>
    <cellStyle name="Migliaia 45 4 2 2" xfId="2511" xr:uid="{00000000-0005-0000-0000-00009F0F0000}"/>
    <cellStyle name="Migliaia 45 4 2 3" xfId="3974" xr:uid="{00000000-0005-0000-0000-0000A00F0000}"/>
    <cellStyle name="Migliaia 45 4 2 4" xfId="6111" xr:uid="{00000000-0005-0000-0000-0000A10F0000}"/>
    <cellStyle name="Migliaia 45 4 2 5" xfId="7056" xr:uid="{00000000-0005-0000-0000-0000A20F0000}"/>
    <cellStyle name="Migliaia 45 4 2 6" xfId="5134" xr:uid="{00000000-0005-0000-0000-0000A30F0000}"/>
    <cellStyle name="Migliaia 45 4 3" xfId="2510" xr:uid="{00000000-0005-0000-0000-0000A40F0000}"/>
    <cellStyle name="Migliaia 45 4 4" xfId="3975" xr:uid="{00000000-0005-0000-0000-0000A50F0000}"/>
    <cellStyle name="Migliaia 45 4 5" xfId="6110" xr:uid="{00000000-0005-0000-0000-0000A60F0000}"/>
    <cellStyle name="Migliaia 45 4 6" xfId="7055" xr:uid="{00000000-0005-0000-0000-0000A70F0000}"/>
    <cellStyle name="Migliaia 45 4 7" xfId="5133" xr:uid="{00000000-0005-0000-0000-0000A80F0000}"/>
    <cellStyle name="Migliaia 45 5" xfId="1199" xr:uid="{00000000-0005-0000-0000-0000A90F0000}"/>
    <cellStyle name="Migliaia 45 5 2" xfId="3976" xr:uid="{00000000-0005-0000-0000-0000AA0F0000}"/>
    <cellStyle name="Migliaia 45 5 3" xfId="6112" xr:uid="{00000000-0005-0000-0000-0000AB0F0000}"/>
    <cellStyle name="Migliaia 45 5 4" xfId="7057" xr:uid="{00000000-0005-0000-0000-0000AC0F0000}"/>
    <cellStyle name="Migliaia 45 5 5" xfId="5135" xr:uid="{00000000-0005-0000-0000-0000AD0F0000}"/>
    <cellStyle name="Migliaia 45 6" xfId="3977" xr:uid="{00000000-0005-0000-0000-0000AE0F0000}"/>
    <cellStyle name="Migliaia 45 7" xfId="6104" xr:uid="{00000000-0005-0000-0000-0000AF0F0000}"/>
    <cellStyle name="Migliaia 45 8" xfId="7049" xr:uid="{00000000-0005-0000-0000-0000B00F0000}"/>
    <cellStyle name="Migliaia 45 9" xfId="5127" xr:uid="{00000000-0005-0000-0000-0000B10F0000}"/>
    <cellStyle name="Migliaia 46" xfId="185" xr:uid="{00000000-0005-0000-0000-0000B20F0000}"/>
    <cellStyle name="Migliaia 46 2" xfId="527" xr:uid="{00000000-0005-0000-0000-0000B30F0000}"/>
    <cellStyle name="Migliaia 46 2 2" xfId="2512" xr:uid="{00000000-0005-0000-0000-0000B40F0000}"/>
    <cellStyle name="Migliaia 46 2 2 2" xfId="3978" xr:uid="{00000000-0005-0000-0000-0000B50F0000}"/>
    <cellStyle name="Migliaia 46 2 2 3" xfId="6115" xr:uid="{00000000-0005-0000-0000-0000B60F0000}"/>
    <cellStyle name="Migliaia 46 2 2 4" xfId="7060" xr:uid="{00000000-0005-0000-0000-0000B70F0000}"/>
    <cellStyle name="Migliaia 46 2 2 5" xfId="5138" xr:uid="{00000000-0005-0000-0000-0000B80F0000}"/>
    <cellStyle name="Migliaia 46 2 3" xfId="3979" xr:uid="{00000000-0005-0000-0000-0000B90F0000}"/>
    <cellStyle name="Migliaia 46 2 4" xfId="6114" xr:uid="{00000000-0005-0000-0000-0000BA0F0000}"/>
    <cellStyle name="Migliaia 46 2 5" xfId="7059" xr:uid="{00000000-0005-0000-0000-0000BB0F0000}"/>
    <cellStyle name="Migliaia 46 2 6" xfId="5137" xr:uid="{00000000-0005-0000-0000-0000BC0F0000}"/>
    <cellStyle name="Migliaia 46 3" xfId="1200" xr:uid="{00000000-0005-0000-0000-0000BD0F0000}"/>
    <cellStyle name="Migliaia 46 3 2" xfId="1201" xr:uid="{00000000-0005-0000-0000-0000BE0F0000}"/>
    <cellStyle name="Migliaia 46 3 2 2" xfId="3980" xr:uid="{00000000-0005-0000-0000-0000BF0F0000}"/>
    <cellStyle name="Migliaia 46 3 2 2 2" xfId="6118" xr:uid="{00000000-0005-0000-0000-0000C00F0000}"/>
    <cellStyle name="Migliaia 46 3 2 2 3" xfId="7063" xr:uid="{00000000-0005-0000-0000-0000C10F0000}"/>
    <cellStyle name="Migliaia 46 3 2 2 4" xfId="5141" xr:uid="{00000000-0005-0000-0000-0000C20F0000}"/>
    <cellStyle name="Migliaia 46 3 2 3" xfId="3981" xr:uid="{00000000-0005-0000-0000-0000C30F0000}"/>
    <cellStyle name="Migliaia 46 3 2 4" xfId="6117" xr:uid="{00000000-0005-0000-0000-0000C40F0000}"/>
    <cellStyle name="Migliaia 46 3 2 5" xfId="7062" xr:uid="{00000000-0005-0000-0000-0000C50F0000}"/>
    <cellStyle name="Migliaia 46 3 2 6" xfId="5140" xr:uid="{00000000-0005-0000-0000-0000C60F0000}"/>
    <cellStyle name="Migliaia 46 3 3" xfId="1202" xr:uid="{00000000-0005-0000-0000-0000C70F0000}"/>
    <cellStyle name="Migliaia 46 3 3 2" xfId="2514" xr:uid="{00000000-0005-0000-0000-0000C80F0000}"/>
    <cellStyle name="Migliaia 46 3 4" xfId="2513" xr:uid="{00000000-0005-0000-0000-0000C90F0000}"/>
    <cellStyle name="Migliaia 46 3 5" xfId="3982" xr:uid="{00000000-0005-0000-0000-0000CA0F0000}"/>
    <cellStyle name="Migliaia 46 3 6" xfId="6116" xr:uid="{00000000-0005-0000-0000-0000CB0F0000}"/>
    <cellStyle name="Migliaia 46 3 7" xfId="7061" xr:uid="{00000000-0005-0000-0000-0000CC0F0000}"/>
    <cellStyle name="Migliaia 46 3 8" xfId="5139" xr:uid="{00000000-0005-0000-0000-0000CD0F0000}"/>
    <cellStyle name="Migliaia 46 4" xfId="1203" xr:uid="{00000000-0005-0000-0000-0000CE0F0000}"/>
    <cellStyle name="Migliaia 46 4 2" xfId="1204" xr:uid="{00000000-0005-0000-0000-0000CF0F0000}"/>
    <cellStyle name="Migliaia 46 4 2 2" xfId="2516" xr:uid="{00000000-0005-0000-0000-0000D00F0000}"/>
    <cellStyle name="Migliaia 46 4 2 3" xfId="3983" xr:uid="{00000000-0005-0000-0000-0000D10F0000}"/>
    <cellStyle name="Migliaia 46 4 2 4" xfId="6120" xr:uid="{00000000-0005-0000-0000-0000D20F0000}"/>
    <cellStyle name="Migliaia 46 4 2 5" xfId="7065" xr:uid="{00000000-0005-0000-0000-0000D30F0000}"/>
    <cellStyle name="Migliaia 46 4 2 6" xfId="5143" xr:uid="{00000000-0005-0000-0000-0000D40F0000}"/>
    <cellStyle name="Migliaia 46 4 3" xfId="2515" xr:uid="{00000000-0005-0000-0000-0000D50F0000}"/>
    <cellStyle name="Migliaia 46 4 4" xfId="3984" xr:uid="{00000000-0005-0000-0000-0000D60F0000}"/>
    <cellStyle name="Migliaia 46 4 5" xfId="6119" xr:uid="{00000000-0005-0000-0000-0000D70F0000}"/>
    <cellStyle name="Migliaia 46 4 6" xfId="7064" xr:uid="{00000000-0005-0000-0000-0000D80F0000}"/>
    <cellStyle name="Migliaia 46 4 7" xfId="5142" xr:uid="{00000000-0005-0000-0000-0000D90F0000}"/>
    <cellStyle name="Migliaia 46 5" xfId="1205" xr:uid="{00000000-0005-0000-0000-0000DA0F0000}"/>
    <cellStyle name="Migliaia 46 5 2" xfId="3985" xr:uid="{00000000-0005-0000-0000-0000DB0F0000}"/>
    <cellStyle name="Migliaia 46 5 3" xfId="6121" xr:uid="{00000000-0005-0000-0000-0000DC0F0000}"/>
    <cellStyle name="Migliaia 46 5 4" xfId="7066" xr:uid="{00000000-0005-0000-0000-0000DD0F0000}"/>
    <cellStyle name="Migliaia 46 5 5" xfId="5144" xr:uid="{00000000-0005-0000-0000-0000DE0F0000}"/>
    <cellStyle name="Migliaia 46 6" xfId="3986" xr:uid="{00000000-0005-0000-0000-0000DF0F0000}"/>
    <cellStyle name="Migliaia 46 7" xfId="6113" xr:uid="{00000000-0005-0000-0000-0000E00F0000}"/>
    <cellStyle name="Migliaia 46 8" xfId="7058" xr:uid="{00000000-0005-0000-0000-0000E10F0000}"/>
    <cellStyle name="Migliaia 46 9" xfId="5136" xr:uid="{00000000-0005-0000-0000-0000E20F0000}"/>
    <cellStyle name="Migliaia 47" xfId="186" xr:uid="{00000000-0005-0000-0000-0000E30F0000}"/>
    <cellStyle name="Migliaia 47 2" xfId="528" xr:uid="{00000000-0005-0000-0000-0000E40F0000}"/>
    <cellStyle name="Migliaia 47 2 2" xfId="2517" xr:uid="{00000000-0005-0000-0000-0000E50F0000}"/>
    <cellStyle name="Migliaia 47 2 2 2" xfId="3987" xr:uid="{00000000-0005-0000-0000-0000E60F0000}"/>
    <cellStyle name="Migliaia 47 2 2 3" xfId="6124" xr:uid="{00000000-0005-0000-0000-0000E70F0000}"/>
    <cellStyle name="Migliaia 47 2 2 4" xfId="7069" xr:uid="{00000000-0005-0000-0000-0000E80F0000}"/>
    <cellStyle name="Migliaia 47 2 2 5" xfId="5147" xr:uid="{00000000-0005-0000-0000-0000E90F0000}"/>
    <cellStyle name="Migliaia 47 2 3" xfId="3988" xr:uid="{00000000-0005-0000-0000-0000EA0F0000}"/>
    <cellStyle name="Migliaia 47 2 4" xfId="6123" xr:uid="{00000000-0005-0000-0000-0000EB0F0000}"/>
    <cellStyle name="Migliaia 47 2 5" xfId="7068" xr:uid="{00000000-0005-0000-0000-0000EC0F0000}"/>
    <cellStyle name="Migliaia 47 2 6" xfId="5146" xr:uid="{00000000-0005-0000-0000-0000ED0F0000}"/>
    <cellStyle name="Migliaia 47 3" xfId="1206" xr:uid="{00000000-0005-0000-0000-0000EE0F0000}"/>
    <cellStyle name="Migliaia 47 3 2" xfId="1207" xr:uid="{00000000-0005-0000-0000-0000EF0F0000}"/>
    <cellStyle name="Migliaia 47 3 2 2" xfId="3989" xr:uid="{00000000-0005-0000-0000-0000F00F0000}"/>
    <cellStyle name="Migliaia 47 3 2 2 2" xfId="6127" xr:uid="{00000000-0005-0000-0000-0000F10F0000}"/>
    <cellStyle name="Migliaia 47 3 2 2 3" xfId="7072" xr:uid="{00000000-0005-0000-0000-0000F20F0000}"/>
    <cellStyle name="Migliaia 47 3 2 2 4" xfId="5150" xr:uid="{00000000-0005-0000-0000-0000F30F0000}"/>
    <cellStyle name="Migliaia 47 3 2 3" xfId="3990" xr:uid="{00000000-0005-0000-0000-0000F40F0000}"/>
    <cellStyle name="Migliaia 47 3 2 4" xfId="6126" xr:uid="{00000000-0005-0000-0000-0000F50F0000}"/>
    <cellStyle name="Migliaia 47 3 2 5" xfId="7071" xr:uid="{00000000-0005-0000-0000-0000F60F0000}"/>
    <cellStyle name="Migliaia 47 3 2 6" xfId="5149" xr:uid="{00000000-0005-0000-0000-0000F70F0000}"/>
    <cellStyle name="Migliaia 47 3 3" xfId="1208" xr:uid="{00000000-0005-0000-0000-0000F80F0000}"/>
    <cellStyle name="Migliaia 47 3 3 2" xfId="2519" xr:uid="{00000000-0005-0000-0000-0000F90F0000}"/>
    <cellStyle name="Migliaia 47 3 4" xfId="2518" xr:uid="{00000000-0005-0000-0000-0000FA0F0000}"/>
    <cellStyle name="Migliaia 47 3 5" xfId="3991" xr:uid="{00000000-0005-0000-0000-0000FB0F0000}"/>
    <cellStyle name="Migliaia 47 3 6" xfId="6125" xr:uid="{00000000-0005-0000-0000-0000FC0F0000}"/>
    <cellStyle name="Migliaia 47 3 7" xfId="7070" xr:uid="{00000000-0005-0000-0000-0000FD0F0000}"/>
    <cellStyle name="Migliaia 47 3 8" xfId="5148" xr:uid="{00000000-0005-0000-0000-0000FE0F0000}"/>
    <cellStyle name="Migliaia 47 4" xfId="1209" xr:uid="{00000000-0005-0000-0000-0000FF0F0000}"/>
    <cellStyle name="Migliaia 47 4 2" xfId="1210" xr:uid="{00000000-0005-0000-0000-000000100000}"/>
    <cellStyle name="Migliaia 47 4 2 2" xfId="2521" xr:uid="{00000000-0005-0000-0000-000001100000}"/>
    <cellStyle name="Migliaia 47 4 2 3" xfId="3992" xr:uid="{00000000-0005-0000-0000-000002100000}"/>
    <cellStyle name="Migliaia 47 4 2 4" xfId="6129" xr:uid="{00000000-0005-0000-0000-000003100000}"/>
    <cellStyle name="Migliaia 47 4 2 5" xfId="7074" xr:uid="{00000000-0005-0000-0000-000004100000}"/>
    <cellStyle name="Migliaia 47 4 2 6" xfId="5152" xr:uid="{00000000-0005-0000-0000-000005100000}"/>
    <cellStyle name="Migliaia 47 4 3" xfId="2520" xr:uid="{00000000-0005-0000-0000-000006100000}"/>
    <cellStyle name="Migliaia 47 4 4" xfId="3993" xr:uid="{00000000-0005-0000-0000-000007100000}"/>
    <cellStyle name="Migliaia 47 4 5" xfId="6128" xr:uid="{00000000-0005-0000-0000-000008100000}"/>
    <cellStyle name="Migliaia 47 4 6" xfId="7073" xr:uid="{00000000-0005-0000-0000-000009100000}"/>
    <cellStyle name="Migliaia 47 4 7" xfId="5151" xr:uid="{00000000-0005-0000-0000-00000A100000}"/>
    <cellStyle name="Migliaia 47 5" xfId="1211" xr:uid="{00000000-0005-0000-0000-00000B100000}"/>
    <cellStyle name="Migliaia 47 5 2" xfId="3994" xr:uid="{00000000-0005-0000-0000-00000C100000}"/>
    <cellStyle name="Migliaia 47 5 3" xfId="6130" xr:uid="{00000000-0005-0000-0000-00000D100000}"/>
    <cellStyle name="Migliaia 47 5 4" xfId="7075" xr:uid="{00000000-0005-0000-0000-00000E100000}"/>
    <cellStyle name="Migliaia 47 5 5" xfId="5153" xr:uid="{00000000-0005-0000-0000-00000F100000}"/>
    <cellStyle name="Migliaia 47 6" xfId="3995" xr:uid="{00000000-0005-0000-0000-000010100000}"/>
    <cellStyle name="Migliaia 47 7" xfId="6122" xr:uid="{00000000-0005-0000-0000-000011100000}"/>
    <cellStyle name="Migliaia 47 8" xfId="7067" xr:uid="{00000000-0005-0000-0000-000012100000}"/>
    <cellStyle name="Migliaia 47 9" xfId="5145" xr:uid="{00000000-0005-0000-0000-000013100000}"/>
    <cellStyle name="Migliaia 48" xfId="187" xr:uid="{00000000-0005-0000-0000-000014100000}"/>
    <cellStyle name="Migliaia 48 2" xfId="529" xr:uid="{00000000-0005-0000-0000-000015100000}"/>
    <cellStyle name="Migliaia 48 2 2" xfId="2522" xr:uid="{00000000-0005-0000-0000-000016100000}"/>
    <cellStyle name="Migliaia 48 2 2 2" xfId="3996" xr:uid="{00000000-0005-0000-0000-000017100000}"/>
    <cellStyle name="Migliaia 48 2 2 3" xfId="6133" xr:uid="{00000000-0005-0000-0000-000018100000}"/>
    <cellStyle name="Migliaia 48 2 2 4" xfId="7078" xr:uid="{00000000-0005-0000-0000-000019100000}"/>
    <cellStyle name="Migliaia 48 2 2 5" xfId="5156" xr:uid="{00000000-0005-0000-0000-00001A100000}"/>
    <cellStyle name="Migliaia 48 2 3" xfId="3997" xr:uid="{00000000-0005-0000-0000-00001B100000}"/>
    <cellStyle name="Migliaia 48 2 4" xfId="6132" xr:uid="{00000000-0005-0000-0000-00001C100000}"/>
    <cellStyle name="Migliaia 48 2 5" xfId="7077" xr:uid="{00000000-0005-0000-0000-00001D100000}"/>
    <cellStyle name="Migliaia 48 2 6" xfId="5155" xr:uid="{00000000-0005-0000-0000-00001E100000}"/>
    <cellStyle name="Migliaia 48 3" xfId="1212" xr:uid="{00000000-0005-0000-0000-00001F100000}"/>
    <cellStyle name="Migliaia 48 3 2" xfId="1213" xr:uid="{00000000-0005-0000-0000-000020100000}"/>
    <cellStyle name="Migliaia 48 3 2 2" xfId="3998" xr:uid="{00000000-0005-0000-0000-000021100000}"/>
    <cellStyle name="Migliaia 48 3 2 2 2" xfId="6136" xr:uid="{00000000-0005-0000-0000-000022100000}"/>
    <cellStyle name="Migliaia 48 3 2 2 3" xfId="7081" xr:uid="{00000000-0005-0000-0000-000023100000}"/>
    <cellStyle name="Migliaia 48 3 2 2 4" xfId="5159" xr:uid="{00000000-0005-0000-0000-000024100000}"/>
    <cellStyle name="Migliaia 48 3 2 3" xfId="3999" xr:uid="{00000000-0005-0000-0000-000025100000}"/>
    <cellStyle name="Migliaia 48 3 2 4" xfId="6135" xr:uid="{00000000-0005-0000-0000-000026100000}"/>
    <cellStyle name="Migliaia 48 3 2 5" xfId="7080" xr:uid="{00000000-0005-0000-0000-000027100000}"/>
    <cellStyle name="Migliaia 48 3 2 6" xfId="5158" xr:uid="{00000000-0005-0000-0000-000028100000}"/>
    <cellStyle name="Migliaia 48 3 3" xfId="1214" xr:uid="{00000000-0005-0000-0000-000029100000}"/>
    <cellStyle name="Migliaia 48 3 3 2" xfId="2524" xr:uid="{00000000-0005-0000-0000-00002A100000}"/>
    <cellStyle name="Migliaia 48 3 4" xfId="2523" xr:uid="{00000000-0005-0000-0000-00002B100000}"/>
    <cellStyle name="Migliaia 48 3 5" xfId="4000" xr:uid="{00000000-0005-0000-0000-00002C100000}"/>
    <cellStyle name="Migliaia 48 3 6" xfId="6134" xr:uid="{00000000-0005-0000-0000-00002D100000}"/>
    <cellStyle name="Migliaia 48 3 7" xfId="7079" xr:uid="{00000000-0005-0000-0000-00002E100000}"/>
    <cellStyle name="Migliaia 48 3 8" xfId="5157" xr:uid="{00000000-0005-0000-0000-00002F100000}"/>
    <cellStyle name="Migliaia 48 4" xfId="1215" xr:uid="{00000000-0005-0000-0000-000030100000}"/>
    <cellStyle name="Migliaia 48 4 2" xfId="1216" xr:uid="{00000000-0005-0000-0000-000031100000}"/>
    <cellStyle name="Migliaia 48 4 2 2" xfId="2526" xr:uid="{00000000-0005-0000-0000-000032100000}"/>
    <cellStyle name="Migliaia 48 4 2 3" xfId="4001" xr:uid="{00000000-0005-0000-0000-000033100000}"/>
    <cellStyle name="Migliaia 48 4 2 4" xfId="6138" xr:uid="{00000000-0005-0000-0000-000034100000}"/>
    <cellStyle name="Migliaia 48 4 2 5" xfId="7083" xr:uid="{00000000-0005-0000-0000-000035100000}"/>
    <cellStyle name="Migliaia 48 4 2 6" xfId="5161" xr:uid="{00000000-0005-0000-0000-000036100000}"/>
    <cellStyle name="Migliaia 48 4 3" xfId="2525" xr:uid="{00000000-0005-0000-0000-000037100000}"/>
    <cellStyle name="Migliaia 48 4 4" xfId="4002" xr:uid="{00000000-0005-0000-0000-000038100000}"/>
    <cellStyle name="Migliaia 48 4 5" xfId="6137" xr:uid="{00000000-0005-0000-0000-000039100000}"/>
    <cellStyle name="Migliaia 48 4 6" xfId="7082" xr:uid="{00000000-0005-0000-0000-00003A100000}"/>
    <cellStyle name="Migliaia 48 4 7" xfId="5160" xr:uid="{00000000-0005-0000-0000-00003B100000}"/>
    <cellStyle name="Migliaia 48 5" xfId="1217" xr:uid="{00000000-0005-0000-0000-00003C100000}"/>
    <cellStyle name="Migliaia 48 5 2" xfId="4003" xr:uid="{00000000-0005-0000-0000-00003D100000}"/>
    <cellStyle name="Migliaia 48 5 3" xfId="6139" xr:uid="{00000000-0005-0000-0000-00003E100000}"/>
    <cellStyle name="Migliaia 48 5 4" xfId="7084" xr:uid="{00000000-0005-0000-0000-00003F100000}"/>
    <cellStyle name="Migliaia 48 5 5" xfId="5162" xr:uid="{00000000-0005-0000-0000-000040100000}"/>
    <cellStyle name="Migliaia 48 6" xfId="4004" xr:uid="{00000000-0005-0000-0000-000041100000}"/>
    <cellStyle name="Migliaia 48 7" xfId="6131" xr:uid="{00000000-0005-0000-0000-000042100000}"/>
    <cellStyle name="Migliaia 48 8" xfId="7076" xr:uid="{00000000-0005-0000-0000-000043100000}"/>
    <cellStyle name="Migliaia 48 9" xfId="5154" xr:uid="{00000000-0005-0000-0000-000044100000}"/>
    <cellStyle name="Migliaia 49" xfId="188" xr:uid="{00000000-0005-0000-0000-000045100000}"/>
    <cellStyle name="Migliaia 49 2" xfId="530" xr:uid="{00000000-0005-0000-0000-000046100000}"/>
    <cellStyle name="Migliaia 49 2 2" xfId="2527" xr:uid="{00000000-0005-0000-0000-000047100000}"/>
    <cellStyle name="Migliaia 49 2 2 2" xfId="4005" xr:uid="{00000000-0005-0000-0000-000048100000}"/>
    <cellStyle name="Migliaia 49 2 2 3" xfId="6142" xr:uid="{00000000-0005-0000-0000-000049100000}"/>
    <cellStyle name="Migliaia 49 2 2 4" xfId="7087" xr:uid="{00000000-0005-0000-0000-00004A100000}"/>
    <cellStyle name="Migliaia 49 2 2 5" xfId="5165" xr:uid="{00000000-0005-0000-0000-00004B100000}"/>
    <cellStyle name="Migliaia 49 2 3" xfId="4006" xr:uid="{00000000-0005-0000-0000-00004C100000}"/>
    <cellStyle name="Migliaia 49 2 4" xfId="6141" xr:uid="{00000000-0005-0000-0000-00004D100000}"/>
    <cellStyle name="Migliaia 49 2 5" xfId="7086" xr:uid="{00000000-0005-0000-0000-00004E100000}"/>
    <cellStyle name="Migliaia 49 2 6" xfId="5164" xr:uid="{00000000-0005-0000-0000-00004F100000}"/>
    <cellStyle name="Migliaia 49 3" xfId="1218" xr:uid="{00000000-0005-0000-0000-000050100000}"/>
    <cellStyle name="Migliaia 49 3 2" xfId="1219" xr:uid="{00000000-0005-0000-0000-000051100000}"/>
    <cellStyle name="Migliaia 49 3 2 2" xfId="4007" xr:uid="{00000000-0005-0000-0000-000052100000}"/>
    <cellStyle name="Migliaia 49 3 2 2 2" xfId="6145" xr:uid="{00000000-0005-0000-0000-000053100000}"/>
    <cellStyle name="Migliaia 49 3 2 2 3" xfId="7090" xr:uid="{00000000-0005-0000-0000-000054100000}"/>
    <cellStyle name="Migliaia 49 3 2 2 4" xfId="5168" xr:uid="{00000000-0005-0000-0000-000055100000}"/>
    <cellStyle name="Migliaia 49 3 2 3" xfId="4008" xr:uid="{00000000-0005-0000-0000-000056100000}"/>
    <cellStyle name="Migliaia 49 3 2 4" xfId="6144" xr:uid="{00000000-0005-0000-0000-000057100000}"/>
    <cellStyle name="Migliaia 49 3 2 5" xfId="7089" xr:uid="{00000000-0005-0000-0000-000058100000}"/>
    <cellStyle name="Migliaia 49 3 2 6" xfId="5167" xr:uid="{00000000-0005-0000-0000-000059100000}"/>
    <cellStyle name="Migliaia 49 3 3" xfId="1220" xr:uid="{00000000-0005-0000-0000-00005A100000}"/>
    <cellStyle name="Migliaia 49 3 3 2" xfId="2529" xr:uid="{00000000-0005-0000-0000-00005B100000}"/>
    <cellStyle name="Migliaia 49 3 4" xfId="2528" xr:uid="{00000000-0005-0000-0000-00005C100000}"/>
    <cellStyle name="Migliaia 49 3 5" xfId="4009" xr:uid="{00000000-0005-0000-0000-00005D100000}"/>
    <cellStyle name="Migliaia 49 3 6" xfId="6143" xr:uid="{00000000-0005-0000-0000-00005E100000}"/>
    <cellStyle name="Migliaia 49 3 7" xfId="7088" xr:uid="{00000000-0005-0000-0000-00005F100000}"/>
    <cellStyle name="Migliaia 49 3 8" xfId="5166" xr:uid="{00000000-0005-0000-0000-000060100000}"/>
    <cellStyle name="Migliaia 49 4" xfId="1221" xr:uid="{00000000-0005-0000-0000-000061100000}"/>
    <cellStyle name="Migliaia 49 4 2" xfId="1222" xr:uid="{00000000-0005-0000-0000-000062100000}"/>
    <cellStyle name="Migliaia 49 4 2 2" xfId="2531" xr:uid="{00000000-0005-0000-0000-000063100000}"/>
    <cellStyle name="Migliaia 49 4 2 3" xfId="4010" xr:uid="{00000000-0005-0000-0000-000064100000}"/>
    <cellStyle name="Migliaia 49 4 2 4" xfId="6147" xr:uid="{00000000-0005-0000-0000-000065100000}"/>
    <cellStyle name="Migliaia 49 4 2 5" xfId="7092" xr:uid="{00000000-0005-0000-0000-000066100000}"/>
    <cellStyle name="Migliaia 49 4 2 6" xfId="5170" xr:uid="{00000000-0005-0000-0000-000067100000}"/>
    <cellStyle name="Migliaia 49 4 3" xfId="2530" xr:uid="{00000000-0005-0000-0000-000068100000}"/>
    <cellStyle name="Migliaia 49 4 4" xfId="4011" xr:uid="{00000000-0005-0000-0000-000069100000}"/>
    <cellStyle name="Migliaia 49 4 5" xfId="6146" xr:uid="{00000000-0005-0000-0000-00006A100000}"/>
    <cellStyle name="Migliaia 49 4 6" xfId="7091" xr:uid="{00000000-0005-0000-0000-00006B100000}"/>
    <cellStyle name="Migliaia 49 4 7" xfId="5169" xr:uid="{00000000-0005-0000-0000-00006C100000}"/>
    <cellStyle name="Migliaia 49 5" xfId="1223" xr:uid="{00000000-0005-0000-0000-00006D100000}"/>
    <cellStyle name="Migliaia 49 5 2" xfId="4012" xr:uid="{00000000-0005-0000-0000-00006E100000}"/>
    <cellStyle name="Migliaia 49 5 3" xfId="6148" xr:uid="{00000000-0005-0000-0000-00006F100000}"/>
    <cellStyle name="Migliaia 49 5 4" xfId="7093" xr:uid="{00000000-0005-0000-0000-000070100000}"/>
    <cellStyle name="Migliaia 49 5 5" xfId="5171" xr:uid="{00000000-0005-0000-0000-000071100000}"/>
    <cellStyle name="Migliaia 49 6" xfId="4013" xr:uid="{00000000-0005-0000-0000-000072100000}"/>
    <cellStyle name="Migliaia 49 7" xfId="6140" xr:uid="{00000000-0005-0000-0000-000073100000}"/>
    <cellStyle name="Migliaia 49 8" xfId="7085" xr:uid="{00000000-0005-0000-0000-000074100000}"/>
    <cellStyle name="Migliaia 49 9" xfId="5163" xr:uid="{00000000-0005-0000-0000-000075100000}"/>
    <cellStyle name="Migliaia 5" xfId="189" xr:uid="{00000000-0005-0000-0000-000076100000}"/>
    <cellStyle name="Migliaia 5 2" xfId="531" xr:uid="{00000000-0005-0000-0000-000077100000}"/>
    <cellStyle name="Migliaia 5 2 2" xfId="2532" xr:uid="{00000000-0005-0000-0000-000078100000}"/>
    <cellStyle name="Migliaia 5 2 2 2" xfId="4014" xr:uid="{00000000-0005-0000-0000-000079100000}"/>
    <cellStyle name="Migliaia 5 2 2 3" xfId="6151" xr:uid="{00000000-0005-0000-0000-00007A100000}"/>
    <cellStyle name="Migliaia 5 2 2 4" xfId="7096" xr:uid="{00000000-0005-0000-0000-00007B100000}"/>
    <cellStyle name="Migliaia 5 2 2 5" xfId="5174" xr:uid="{00000000-0005-0000-0000-00007C100000}"/>
    <cellStyle name="Migliaia 5 2 3" xfId="4015" xr:uid="{00000000-0005-0000-0000-00007D100000}"/>
    <cellStyle name="Migliaia 5 2 4" xfId="6150" xr:uid="{00000000-0005-0000-0000-00007E100000}"/>
    <cellStyle name="Migliaia 5 2 5" xfId="7095" xr:uid="{00000000-0005-0000-0000-00007F100000}"/>
    <cellStyle name="Migliaia 5 2 6" xfId="5173" xr:uid="{00000000-0005-0000-0000-000080100000}"/>
    <cellStyle name="Migliaia 5 3" xfId="1224" xr:uid="{00000000-0005-0000-0000-000081100000}"/>
    <cellStyle name="Migliaia 5 3 2" xfId="1225" xr:uid="{00000000-0005-0000-0000-000082100000}"/>
    <cellStyle name="Migliaia 5 3 2 2" xfId="4016" xr:uid="{00000000-0005-0000-0000-000083100000}"/>
    <cellStyle name="Migliaia 5 3 2 2 2" xfId="6154" xr:uid="{00000000-0005-0000-0000-000084100000}"/>
    <cellStyle name="Migliaia 5 3 2 2 3" xfId="7099" xr:uid="{00000000-0005-0000-0000-000085100000}"/>
    <cellStyle name="Migliaia 5 3 2 2 4" xfId="5177" xr:uid="{00000000-0005-0000-0000-000086100000}"/>
    <cellStyle name="Migliaia 5 3 2 3" xfId="4017" xr:uid="{00000000-0005-0000-0000-000087100000}"/>
    <cellStyle name="Migliaia 5 3 2 4" xfId="6153" xr:uid="{00000000-0005-0000-0000-000088100000}"/>
    <cellStyle name="Migliaia 5 3 2 5" xfId="7098" xr:uid="{00000000-0005-0000-0000-000089100000}"/>
    <cellStyle name="Migliaia 5 3 2 6" xfId="5176" xr:uid="{00000000-0005-0000-0000-00008A100000}"/>
    <cellStyle name="Migliaia 5 3 3" xfId="1226" xr:uid="{00000000-0005-0000-0000-00008B100000}"/>
    <cellStyle name="Migliaia 5 3 3 2" xfId="2534" xr:uid="{00000000-0005-0000-0000-00008C100000}"/>
    <cellStyle name="Migliaia 5 3 4" xfId="2533" xr:uid="{00000000-0005-0000-0000-00008D100000}"/>
    <cellStyle name="Migliaia 5 3 5" xfId="4018" xr:uid="{00000000-0005-0000-0000-00008E100000}"/>
    <cellStyle name="Migliaia 5 3 6" xfId="6152" xr:uid="{00000000-0005-0000-0000-00008F100000}"/>
    <cellStyle name="Migliaia 5 3 7" xfId="7097" xr:uid="{00000000-0005-0000-0000-000090100000}"/>
    <cellStyle name="Migliaia 5 3 8" xfId="5175" xr:uid="{00000000-0005-0000-0000-000091100000}"/>
    <cellStyle name="Migliaia 5 4" xfId="1227" xr:uid="{00000000-0005-0000-0000-000092100000}"/>
    <cellStyle name="Migliaia 5 4 2" xfId="1228" xr:uid="{00000000-0005-0000-0000-000093100000}"/>
    <cellStyle name="Migliaia 5 4 2 2" xfId="2536" xr:uid="{00000000-0005-0000-0000-000094100000}"/>
    <cellStyle name="Migliaia 5 4 2 3" xfId="4019" xr:uid="{00000000-0005-0000-0000-000095100000}"/>
    <cellStyle name="Migliaia 5 4 2 4" xfId="6156" xr:uid="{00000000-0005-0000-0000-000096100000}"/>
    <cellStyle name="Migliaia 5 4 2 5" xfId="7101" xr:uid="{00000000-0005-0000-0000-000097100000}"/>
    <cellStyle name="Migliaia 5 4 2 6" xfId="5179" xr:uid="{00000000-0005-0000-0000-000098100000}"/>
    <cellStyle name="Migliaia 5 4 3" xfId="2535" xr:uid="{00000000-0005-0000-0000-000099100000}"/>
    <cellStyle name="Migliaia 5 4 4" xfId="4020" xr:uid="{00000000-0005-0000-0000-00009A100000}"/>
    <cellStyle name="Migliaia 5 4 5" xfId="6155" xr:uid="{00000000-0005-0000-0000-00009B100000}"/>
    <cellStyle name="Migliaia 5 4 6" xfId="7100" xr:uid="{00000000-0005-0000-0000-00009C100000}"/>
    <cellStyle name="Migliaia 5 4 7" xfId="5178" xr:uid="{00000000-0005-0000-0000-00009D100000}"/>
    <cellStyle name="Migliaia 5 5" xfId="1229" xr:uid="{00000000-0005-0000-0000-00009E100000}"/>
    <cellStyle name="Migliaia 5 5 2" xfId="4021" xr:uid="{00000000-0005-0000-0000-00009F100000}"/>
    <cellStyle name="Migliaia 5 5 3" xfId="6157" xr:uid="{00000000-0005-0000-0000-0000A0100000}"/>
    <cellStyle name="Migliaia 5 5 4" xfId="7102" xr:uid="{00000000-0005-0000-0000-0000A1100000}"/>
    <cellStyle name="Migliaia 5 5 5" xfId="5180" xr:uid="{00000000-0005-0000-0000-0000A2100000}"/>
    <cellStyle name="Migliaia 5 6" xfId="4022" xr:uid="{00000000-0005-0000-0000-0000A3100000}"/>
    <cellStyle name="Migliaia 5 7" xfId="6149" xr:uid="{00000000-0005-0000-0000-0000A4100000}"/>
    <cellStyle name="Migliaia 5 8" xfId="7094" xr:uid="{00000000-0005-0000-0000-0000A5100000}"/>
    <cellStyle name="Migliaia 5 9" xfId="5172" xr:uid="{00000000-0005-0000-0000-0000A6100000}"/>
    <cellStyle name="Migliaia 50" xfId="190" xr:uid="{00000000-0005-0000-0000-0000A7100000}"/>
    <cellStyle name="Migliaia 50 2" xfId="532" xr:uid="{00000000-0005-0000-0000-0000A8100000}"/>
    <cellStyle name="Migliaia 50 2 2" xfId="2537" xr:uid="{00000000-0005-0000-0000-0000A9100000}"/>
    <cellStyle name="Migliaia 50 2 2 2" xfId="4023" xr:uid="{00000000-0005-0000-0000-0000AA100000}"/>
    <cellStyle name="Migliaia 50 2 2 3" xfId="6160" xr:uid="{00000000-0005-0000-0000-0000AB100000}"/>
    <cellStyle name="Migliaia 50 2 2 4" xfId="7105" xr:uid="{00000000-0005-0000-0000-0000AC100000}"/>
    <cellStyle name="Migliaia 50 2 2 5" xfId="5183" xr:uid="{00000000-0005-0000-0000-0000AD100000}"/>
    <cellStyle name="Migliaia 50 2 3" xfId="4024" xr:uid="{00000000-0005-0000-0000-0000AE100000}"/>
    <cellStyle name="Migliaia 50 2 4" xfId="6159" xr:uid="{00000000-0005-0000-0000-0000AF100000}"/>
    <cellStyle name="Migliaia 50 2 5" xfId="7104" xr:uid="{00000000-0005-0000-0000-0000B0100000}"/>
    <cellStyle name="Migliaia 50 2 6" xfId="5182" xr:uid="{00000000-0005-0000-0000-0000B1100000}"/>
    <cellStyle name="Migliaia 50 3" xfId="1230" xr:uid="{00000000-0005-0000-0000-0000B2100000}"/>
    <cellStyle name="Migliaia 50 3 2" xfId="1231" xr:uid="{00000000-0005-0000-0000-0000B3100000}"/>
    <cellStyle name="Migliaia 50 3 2 2" xfId="4025" xr:uid="{00000000-0005-0000-0000-0000B4100000}"/>
    <cellStyle name="Migliaia 50 3 2 2 2" xfId="6163" xr:uid="{00000000-0005-0000-0000-0000B5100000}"/>
    <cellStyle name="Migliaia 50 3 2 2 3" xfId="7108" xr:uid="{00000000-0005-0000-0000-0000B6100000}"/>
    <cellStyle name="Migliaia 50 3 2 2 4" xfId="5186" xr:uid="{00000000-0005-0000-0000-0000B7100000}"/>
    <cellStyle name="Migliaia 50 3 2 3" xfId="4026" xr:uid="{00000000-0005-0000-0000-0000B8100000}"/>
    <cellStyle name="Migliaia 50 3 2 4" xfId="6162" xr:uid="{00000000-0005-0000-0000-0000B9100000}"/>
    <cellStyle name="Migliaia 50 3 2 5" xfId="7107" xr:uid="{00000000-0005-0000-0000-0000BA100000}"/>
    <cellStyle name="Migliaia 50 3 2 6" xfId="5185" xr:uid="{00000000-0005-0000-0000-0000BB100000}"/>
    <cellStyle name="Migliaia 50 3 3" xfId="1232" xr:uid="{00000000-0005-0000-0000-0000BC100000}"/>
    <cellStyle name="Migliaia 50 3 3 2" xfId="2539" xr:uid="{00000000-0005-0000-0000-0000BD100000}"/>
    <cellStyle name="Migliaia 50 3 4" xfId="2538" xr:uid="{00000000-0005-0000-0000-0000BE100000}"/>
    <cellStyle name="Migliaia 50 3 5" xfId="4027" xr:uid="{00000000-0005-0000-0000-0000BF100000}"/>
    <cellStyle name="Migliaia 50 3 6" xfId="6161" xr:uid="{00000000-0005-0000-0000-0000C0100000}"/>
    <cellStyle name="Migliaia 50 3 7" xfId="7106" xr:uid="{00000000-0005-0000-0000-0000C1100000}"/>
    <cellStyle name="Migliaia 50 3 8" xfId="5184" xr:uid="{00000000-0005-0000-0000-0000C2100000}"/>
    <cellStyle name="Migliaia 50 4" xfId="1233" xr:uid="{00000000-0005-0000-0000-0000C3100000}"/>
    <cellStyle name="Migliaia 50 4 2" xfId="1234" xr:uid="{00000000-0005-0000-0000-0000C4100000}"/>
    <cellStyle name="Migliaia 50 4 2 2" xfId="2541" xr:uid="{00000000-0005-0000-0000-0000C5100000}"/>
    <cellStyle name="Migliaia 50 4 2 3" xfId="4028" xr:uid="{00000000-0005-0000-0000-0000C6100000}"/>
    <cellStyle name="Migliaia 50 4 2 4" xfId="6165" xr:uid="{00000000-0005-0000-0000-0000C7100000}"/>
    <cellStyle name="Migliaia 50 4 2 5" xfId="7110" xr:uid="{00000000-0005-0000-0000-0000C8100000}"/>
    <cellStyle name="Migliaia 50 4 2 6" xfId="5188" xr:uid="{00000000-0005-0000-0000-0000C9100000}"/>
    <cellStyle name="Migliaia 50 4 3" xfId="2540" xr:uid="{00000000-0005-0000-0000-0000CA100000}"/>
    <cellStyle name="Migliaia 50 4 4" xfId="4029" xr:uid="{00000000-0005-0000-0000-0000CB100000}"/>
    <cellStyle name="Migliaia 50 4 5" xfId="6164" xr:uid="{00000000-0005-0000-0000-0000CC100000}"/>
    <cellStyle name="Migliaia 50 4 6" xfId="7109" xr:uid="{00000000-0005-0000-0000-0000CD100000}"/>
    <cellStyle name="Migliaia 50 4 7" xfId="5187" xr:uid="{00000000-0005-0000-0000-0000CE100000}"/>
    <cellStyle name="Migliaia 50 5" xfId="1235" xr:uid="{00000000-0005-0000-0000-0000CF100000}"/>
    <cellStyle name="Migliaia 50 5 2" xfId="4030" xr:uid="{00000000-0005-0000-0000-0000D0100000}"/>
    <cellStyle name="Migliaia 50 5 3" xfId="6166" xr:uid="{00000000-0005-0000-0000-0000D1100000}"/>
    <cellStyle name="Migliaia 50 5 4" xfId="7111" xr:uid="{00000000-0005-0000-0000-0000D2100000}"/>
    <cellStyle name="Migliaia 50 5 5" xfId="5189" xr:uid="{00000000-0005-0000-0000-0000D3100000}"/>
    <cellStyle name="Migliaia 50 6" xfId="4031" xr:uid="{00000000-0005-0000-0000-0000D4100000}"/>
    <cellStyle name="Migliaia 50 7" xfId="6158" xr:uid="{00000000-0005-0000-0000-0000D5100000}"/>
    <cellStyle name="Migliaia 50 8" xfId="7103" xr:uid="{00000000-0005-0000-0000-0000D6100000}"/>
    <cellStyle name="Migliaia 50 9" xfId="5181" xr:uid="{00000000-0005-0000-0000-0000D7100000}"/>
    <cellStyle name="Migliaia 51" xfId="191" xr:uid="{00000000-0005-0000-0000-0000D8100000}"/>
    <cellStyle name="Migliaia 51 2" xfId="533" xr:uid="{00000000-0005-0000-0000-0000D9100000}"/>
    <cellStyle name="Migliaia 51 2 2" xfId="2542" xr:uid="{00000000-0005-0000-0000-0000DA100000}"/>
    <cellStyle name="Migliaia 51 2 2 2" xfId="4032" xr:uid="{00000000-0005-0000-0000-0000DB100000}"/>
    <cellStyle name="Migliaia 51 2 2 3" xfId="6169" xr:uid="{00000000-0005-0000-0000-0000DC100000}"/>
    <cellStyle name="Migliaia 51 2 2 4" xfId="7114" xr:uid="{00000000-0005-0000-0000-0000DD100000}"/>
    <cellStyle name="Migliaia 51 2 2 5" xfId="5192" xr:uid="{00000000-0005-0000-0000-0000DE100000}"/>
    <cellStyle name="Migliaia 51 2 3" xfId="4033" xr:uid="{00000000-0005-0000-0000-0000DF100000}"/>
    <cellStyle name="Migliaia 51 2 4" xfId="6168" xr:uid="{00000000-0005-0000-0000-0000E0100000}"/>
    <cellStyle name="Migliaia 51 2 5" xfId="7113" xr:uid="{00000000-0005-0000-0000-0000E1100000}"/>
    <cellStyle name="Migliaia 51 2 6" xfId="5191" xr:uid="{00000000-0005-0000-0000-0000E2100000}"/>
    <cellStyle name="Migliaia 51 3" xfId="1236" xr:uid="{00000000-0005-0000-0000-0000E3100000}"/>
    <cellStyle name="Migliaia 51 3 2" xfId="1237" xr:uid="{00000000-0005-0000-0000-0000E4100000}"/>
    <cellStyle name="Migliaia 51 3 2 2" xfId="4034" xr:uid="{00000000-0005-0000-0000-0000E5100000}"/>
    <cellStyle name="Migliaia 51 3 2 2 2" xfId="6172" xr:uid="{00000000-0005-0000-0000-0000E6100000}"/>
    <cellStyle name="Migliaia 51 3 2 2 3" xfId="7117" xr:uid="{00000000-0005-0000-0000-0000E7100000}"/>
    <cellStyle name="Migliaia 51 3 2 2 4" xfId="5195" xr:uid="{00000000-0005-0000-0000-0000E8100000}"/>
    <cellStyle name="Migliaia 51 3 2 3" xfId="4035" xr:uid="{00000000-0005-0000-0000-0000E9100000}"/>
    <cellStyle name="Migliaia 51 3 2 4" xfId="6171" xr:uid="{00000000-0005-0000-0000-0000EA100000}"/>
    <cellStyle name="Migliaia 51 3 2 5" xfId="7116" xr:uid="{00000000-0005-0000-0000-0000EB100000}"/>
    <cellStyle name="Migliaia 51 3 2 6" xfId="5194" xr:uid="{00000000-0005-0000-0000-0000EC100000}"/>
    <cellStyle name="Migliaia 51 3 3" xfId="1238" xr:uid="{00000000-0005-0000-0000-0000ED100000}"/>
    <cellStyle name="Migliaia 51 3 3 2" xfId="2544" xr:uid="{00000000-0005-0000-0000-0000EE100000}"/>
    <cellStyle name="Migliaia 51 3 4" xfId="2543" xr:uid="{00000000-0005-0000-0000-0000EF100000}"/>
    <cellStyle name="Migliaia 51 3 5" xfId="4036" xr:uid="{00000000-0005-0000-0000-0000F0100000}"/>
    <cellStyle name="Migliaia 51 3 6" xfId="6170" xr:uid="{00000000-0005-0000-0000-0000F1100000}"/>
    <cellStyle name="Migliaia 51 3 7" xfId="7115" xr:uid="{00000000-0005-0000-0000-0000F2100000}"/>
    <cellStyle name="Migliaia 51 3 8" xfId="5193" xr:uid="{00000000-0005-0000-0000-0000F3100000}"/>
    <cellStyle name="Migliaia 51 4" xfId="1239" xr:uid="{00000000-0005-0000-0000-0000F4100000}"/>
    <cellStyle name="Migliaia 51 4 2" xfId="1240" xr:uid="{00000000-0005-0000-0000-0000F5100000}"/>
    <cellStyle name="Migliaia 51 4 2 2" xfId="2546" xr:uid="{00000000-0005-0000-0000-0000F6100000}"/>
    <cellStyle name="Migliaia 51 4 2 3" xfId="4037" xr:uid="{00000000-0005-0000-0000-0000F7100000}"/>
    <cellStyle name="Migliaia 51 4 2 4" xfId="6174" xr:uid="{00000000-0005-0000-0000-0000F8100000}"/>
    <cellStyle name="Migliaia 51 4 2 5" xfId="7119" xr:uid="{00000000-0005-0000-0000-0000F9100000}"/>
    <cellStyle name="Migliaia 51 4 2 6" xfId="5197" xr:uid="{00000000-0005-0000-0000-0000FA100000}"/>
    <cellStyle name="Migliaia 51 4 3" xfId="2545" xr:uid="{00000000-0005-0000-0000-0000FB100000}"/>
    <cellStyle name="Migliaia 51 4 4" xfId="4038" xr:uid="{00000000-0005-0000-0000-0000FC100000}"/>
    <cellStyle name="Migliaia 51 4 5" xfId="6173" xr:uid="{00000000-0005-0000-0000-0000FD100000}"/>
    <cellStyle name="Migliaia 51 4 6" xfId="7118" xr:uid="{00000000-0005-0000-0000-0000FE100000}"/>
    <cellStyle name="Migliaia 51 4 7" xfId="5196" xr:uid="{00000000-0005-0000-0000-0000FF100000}"/>
    <cellStyle name="Migliaia 51 5" xfId="1241" xr:uid="{00000000-0005-0000-0000-000000110000}"/>
    <cellStyle name="Migliaia 51 5 2" xfId="4039" xr:uid="{00000000-0005-0000-0000-000001110000}"/>
    <cellStyle name="Migliaia 51 5 3" xfId="6175" xr:uid="{00000000-0005-0000-0000-000002110000}"/>
    <cellStyle name="Migliaia 51 5 4" xfId="7120" xr:uid="{00000000-0005-0000-0000-000003110000}"/>
    <cellStyle name="Migliaia 51 5 5" xfId="5198" xr:uid="{00000000-0005-0000-0000-000004110000}"/>
    <cellStyle name="Migliaia 51 6" xfId="4040" xr:uid="{00000000-0005-0000-0000-000005110000}"/>
    <cellStyle name="Migliaia 51 7" xfId="6167" xr:uid="{00000000-0005-0000-0000-000006110000}"/>
    <cellStyle name="Migliaia 51 8" xfId="7112" xr:uid="{00000000-0005-0000-0000-000007110000}"/>
    <cellStyle name="Migliaia 51 9" xfId="5190" xr:uid="{00000000-0005-0000-0000-000008110000}"/>
    <cellStyle name="Migliaia 52" xfId="192" xr:uid="{00000000-0005-0000-0000-000009110000}"/>
    <cellStyle name="Migliaia 52 2" xfId="534" xr:uid="{00000000-0005-0000-0000-00000A110000}"/>
    <cellStyle name="Migliaia 52 2 2" xfId="2547" xr:uid="{00000000-0005-0000-0000-00000B110000}"/>
    <cellStyle name="Migliaia 52 2 2 2" xfId="4041" xr:uid="{00000000-0005-0000-0000-00000C110000}"/>
    <cellStyle name="Migliaia 52 2 2 3" xfId="6178" xr:uid="{00000000-0005-0000-0000-00000D110000}"/>
    <cellStyle name="Migliaia 52 2 2 4" xfId="7123" xr:uid="{00000000-0005-0000-0000-00000E110000}"/>
    <cellStyle name="Migliaia 52 2 2 5" xfId="5201" xr:uid="{00000000-0005-0000-0000-00000F110000}"/>
    <cellStyle name="Migliaia 52 2 3" xfId="4042" xr:uid="{00000000-0005-0000-0000-000010110000}"/>
    <cellStyle name="Migliaia 52 2 4" xfId="6177" xr:uid="{00000000-0005-0000-0000-000011110000}"/>
    <cellStyle name="Migliaia 52 2 5" xfId="7122" xr:uid="{00000000-0005-0000-0000-000012110000}"/>
    <cellStyle name="Migliaia 52 2 6" xfId="5200" xr:uid="{00000000-0005-0000-0000-000013110000}"/>
    <cellStyle name="Migliaia 52 3" xfId="1242" xr:uid="{00000000-0005-0000-0000-000014110000}"/>
    <cellStyle name="Migliaia 52 3 2" xfId="1243" xr:uid="{00000000-0005-0000-0000-000015110000}"/>
    <cellStyle name="Migliaia 52 3 2 2" xfId="4043" xr:uid="{00000000-0005-0000-0000-000016110000}"/>
    <cellStyle name="Migliaia 52 3 2 2 2" xfId="6181" xr:uid="{00000000-0005-0000-0000-000017110000}"/>
    <cellStyle name="Migliaia 52 3 2 2 3" xfId="7126" xr:uid="{00000000-0005-0000-0000-000018110000}"/>
    <cellStyle name="Migliaia 52 3 2 2 4" xfId="5204" xr:uid="{00000000-0005-0000-0000-000019110000}"/>
    <cellStyle name="Migliaia 52 3 2 3" xfId="4044" xr:uid="{00000000-0005-0000-0000-00001A110000}"/>
    <cellStyle name="Migliaia 52 3 2 4" xfId="6180" xr:uid="{00000000-0005-0000-0000-00001B110000}"/>
    <cellStyle name="Migliaia 52 3 2 5" xfId="7125" xr:uid="{00000000-0005-0000-0000-00001C110000}"/>
    <cellStyle name="Migliaia 52 3 2 6" xfId="5203" xr:uid="{00000000-0005-0000-0000-00001D110000}"/>
    <cellStyle name="Migliaia 52 3 3" xfId="1244" xr:uid="{00000000-0005-0000-0000-00001E110000}"/>
    <cellStyle name="Migliaia 52 3 3 2" xfId="2549" xr:uid="{00000000-0005-0000-0000-00001F110000}"/>
    <cellStyle name="Migliaia 52 3 4" xfId="2548" xr:uid="{00000000-0005-0000-0000-000020110000}"/>
    <cellStyle name="Migliaia 52 3 5" xfId="4045" xr:uid="{00000000-0005-0000-0000-000021110000}"/>
    <cellStyle name="Migliaia 52 3 6" xfId="6179" xr:uid="{00000000-0005-0000-0000-000022110000}"/>
    <cellStyle name="Migliaia 52 3 7" xfId="7124" xr:uid="{00000000-0005-0000-0000-000023110000}"/>
    <cellStyle name="Migliaia 52 3 8" xfId="5202" xr:uid="{00000000-0005-0000-0000-000024110000}"/>
    <cellStyle name="Migliaia 52 4" xfId="1245" xr:uid="{00000000-0005-0000-0000-000025110000}"/>
    <cellStyle name="Migliaia 52 4 2" xfId="1246" xr:uid="{00000000-0005-0000-0000-000026110000}"/>
    <cellStyle name="Migliaia 52 4 2 2" xfId="2551" xr:uid="{00000000-0005-0000-0000-000027110000}"/>
    <cellStyle name="Migliaia 52 4 2 3" xfId="4046" xr:uid="{00000000-0005-0000-0000-000028110000}"/>
    <cellStyle name="Migliaia 52 4 2 4" xfId="6183" xr:uid="{00000000-0005-0000-0000-000029110000}"/>
    <cellStyle name="Migliaia 52 4 2 5" xfId="7128" xr:uid="{00000000-0005-0000-0000-00002A110000}"/>
    <cellStyle name="Migliaia 52 4 2 6" xfId="5206" xr:uid="{00000000-0005-0000-0000-00002B110000}"/>
    <cellStyle name="Migliaia 52 4 3" xfId="2550" xr:uid="{00000000-0005-0000-0000-00002C110000}"/>
    <cellStyle name="Migliaia 52 4 4" xfId="4047" xr:uid="{00000000-0005-0000-0000-00002D110000}"/>
    <cellStyle name="Migliaia 52 4 5" xfId="6182" xr:uid="{00000000-0005-0000-0000-00002E110000}"/>
    <cellStyle name="Migliaia 52 4 6" xfId="7127" xr:uid="{00000000-0005-0000-0000-00002F110000}"/>
    <cellStyle name="Migliaia 52 4 7" xfId="5205" xr:uid="{00000000-0005-0000-0000-000030110000}"/>
    <cellStyle name="Migliaia 52 5" xfId="1247" xr:uid="{00000000-0005-0000-0000-000031110000}"/>
    <cellStyle name="Migliaia 52 5 2" xfId="4048" xr:uid="{00000000-0005-0000-0000-000032110000}"/>
    <cellStyle name="Migliaia 52 5 3" xfId="6184" xr:uid="{00000000-0005-0000-0000-000033110000}"/>
    <cellStyle name="Migliaia 52 5 4" xfId="7129" xr:uid="{00000000-0005-0000-0000-000034110000}"/>
    <cellStyle name="Migliaia 52 5 5" xfId="5207" xr:uid="{00000000-0005-0000-0000-000035110000}"/>
    <cellStyle name="Migliaia 52 6" xfId="4049" xr:uid="{00000000-0005-0000-0000-000036110000}"/>
    <cellStyle name="Migliaia 52 7" xfId="6176" xr:uid="{00000000-0005-0000-0000-000037110000}"/>
    <cellStyle name="Migliaia 52 8" xfId="7121" xr:uid="{00000000-0005-0000-0000-000038110000}"/>
    <cellStyle name="Migliaia 52 9" xfId="5199" xr:uid="{00000000-0005-0000-0000-000039110000}"/>
    <cellStyle name="Migliaia 53" xfId="193" xr:uid="{00000000-0005-0000-0000-00003A110000}"/>
    <cellStyle name="Migliaia 53 2" xfId="535" xr:uid="{00000000-0005-0000-0000-00003B110000}"/>
    <cellStyle name="Migliaia 53 2 2" xfId="2552" xr:uid="{00000000-0005-0000-0000-00003C110000}"/>
    <cellStyle name="Migliaia 53 2 2 2" xfId="4050" xr:uid="{00000000-0005-0000-0000-00003D110000}"/>
    <cellStyle name="Migliaia 53 2 2 3" xfId="6187" xr:uid="{00000000-0005-0000-0000-00003E110000}"/>
    <cellStyle name="Migliaia 53 2 2 4" xfId="7132" xr:uid="{00000000-0005-0000-0000-00003F110000}"/>
    <cellStyle name="Migliaia 53 2 2 5" xfId="5210" xr:uid="{00000000-0005-0000-0000-000040110000}"/>
    <cellStyle name="Migliaia 53 2 3" xfId="4051" xr:uid="{00000000-0005-0000-0000-000041110000}"/>
    <cellStyle name="Migliaia 53 2 4" xfId="6186" xr:uid="{00000000-0005-0000-0000-000042110000}"/>
    <cellStyle name="Migliaia 53 2 5" xfId="7131" xr:uid="{00000000-0005-0000-0000-000043110000}"/>
    <cellStyle name="Migliaia 53 2 6" xfId="5209" xr:uid="{00000000-0005-0000-0000-000044110000}"/>
    <cellStyle name="Migliaia 53 3" xfId="1248" xr:uid="{00000000-0005-0000-0000-000045110000}"/>
    <cellStyle name="Migliaia 53 3 2" xfId="1249" xr:uid="{00000000-0005-0000-0000-000046110000}"/>
    <cellStyle name="Migliaia 53 3 2 2" xfId="4052" xr:uid="{00000000-0005-0000-0000-000047110000}"/>
    <cellStyle name="Migliaia 53 3 2 2 2" xfId="6190" xr:uid="{00000000-0005-0000-0000-000048110000}"/>
    <cellStyle name="Migliaia 53 3 2 2 3" xfId="7135" xr:uid="{00000000-0005-0000-0000-000049110000}"/>
    <cellStyle name="Migliaia 53 3 2 2 4" xfId="5213" xr:uid="{00000000-0005-0000-0000-00004A110000}"/>
    <cellStyle name="Migliaia 53 3 2 3" xfId="4053" xr:uid="{00000000-0005-0000-0000-00004B110000}"/>
    <cellStyle name="Migliaia 53 3 2 4" xfId="6189" xr:uid="{00000000-0005-0000-0000-00004C110000}"/>
    <cellStyle name="Migliaia 53 3 2 5" xfId="7134" xr:uid="{00000000-0005-0000-0000-00004D110000}"/>
    <cellStyle name="Migliaia 53 3 2 6" xfId="5212" xr:uid="{00000000-0005-0000-0000-00004E110000}"/>
    <cellStyle name="Migliaia 53 3 3" xfId="1250" xr:uid="{00000000-0005-0000-0000-00004F110000}"/>
    <cellStyle name="Migliaia 53 3 3 2" xfId="2554" xr:uid="{00000000-0005-0000-0000-000050110000}"/>
    <cellStyle name="Migliaia 53 3 4" xfId="2553" xr:uid="{00000000-0005-0000-0000-000051110000}"/>
    <cellStyle name="Migliaia 53 3 5" xfId="4054" xr:uid="{00000000-0005-0000-0000-000052110000}"/>
    <cellStyle name="Migliaia 53 3 6" xfId="6188" xr:uid="{00000000-0005-0000-0000-000053110000}"/>
    <cellStyle name="Migliaia 53 3 7" xfId="7133" xr:uid="{00000000-0005-0000-0000-000054110000}"/>
    <cellStyle name="Migliaia 53 3 8" xfId="5211" xr:uid="{00000000-0005-0000-0000-000055110000}"/>
    <cellStyle name="Migliaia 53 4" xfId="1251" xr:uid="{00000000-0005-0000-0000-000056110000}"/>
    <cellStyle name="Migliaia 53 4 2" xfId="1252" xr:uid="{00000000-0005-0000-0000-000057110000}"/>
    <cellStyle name="Migliaia 53 4 2 2" xfId="2556" xr:uid="{00000000-0005-0000-0000-000058110000}"/>
    <cellStyle name="Migliaia 53 4 2 3" xfId="4055" xr:uid="{00000000-0005-0000-0000-000059110000}"/>
    <cellStyle name="Migliaia 53 4 2 4" xfId="6192" xr:uid="{00000000-0005-0000-0000-00005A110000}"/>
    <cellStyle name="Migliaia 53 4 2 5" xfId="7137" xr:uid="{00000000-0005-0000-0000-00005B110000}"/>
    <cellStyle name="Migliaia 53 4 2 6" xfId="5215" xr:uid="{00000000-0005-0000-0000-00005C110000}"/>
    <cellStyle name="Migliaia 53 4 3" xfId="2555" xr:uid="{00000000-0005-0000-0000-00005D110000}"/>
    <cellStyle name="Migliaia 53 4 4" xfId="4056" xr:uid="{00000000-0005-0000-0000-00005E110000}"/>
    <cellStyle name="Migliaia 53 4 5" xfId="6191" xr:uid="{00000000-0005-0000-0000-00005F110000}"/>
    <cellStyle name="Migliaia 53 4 6" xfId="7136" xr:uid="{00000000-0005-0000-0000-000060110000}"/>
    <cellStyle name="Migliaia 53 4 7" xfId="5214" xr:uid="{00000000-0005-0000-0000-000061110000}"/>
    <cellStyle name="Migliaia 53 5" xfId="1253" xr:uid="{00000000-0005-0000-0000-000062110000}"/>
    <cellStyle name="Migliaia 53 5 2" xfId="4057" xr:uid="{00000000-0005-0000-0000-000063110000}"/>
    <cellStyle name="Migliaia 53 5 3" xfId="6193" xr:uid="{00000000-0005-0000-0000-000064110000}"/>
    <cellStyle name="Migliaia 53 5 4" xfId="7138" xr:uid="{00000000-0005-0000-0000-000065110000}"/>
    <cellStyle name="Migliaia 53 5 5" xfId="5216" xr:uid="{00000000-0005-0000-0000-000066110000}"/>
    <cellStyle name="Migliaia 53 6" xfId="4058" xr:uid="{00000000-0005-0000-0000-000067110000}"/>
    <cellStyle name="Migliaia 53 7" xfId="6185" xr:uid="{00000000-0005-0000-0000-000068110000}"/>
    <cellStyle name="Migliaia 53 8" xfId="7130" xr:uid="{00000000-0005-0000-0000-000069110000}"/>
    <cellStyle name="Migliaia 53 9" xfId="5208" xr:uid="{00000000-0005-0000-0000-00006A110000}"/>
    <cellStyle name="Migliaia 54" xfId="194" xr:uid="{00000000-0005-0000-0000-00006B110000}"/>
    <cellStyle name="Migliaia 54 2" xfId="536" xr:uid="{00000000-0005-0000-0000-00006C110000}"/>
    <cellStyle name="Migliaia 54 2 2" xfId="2557" xr:uid="{00000000-0005-0000-0000-00006D110000}"/>
    <cellStyle name="Migliaia 54 2 2 2" xfId="4059" xr:uid="{00000000-0005-0000-0000-00006E110000}"/>
    <cellStyle name="Migliaia 54 2 2 3" xfId="6196" xr:uid="{00000000-0005-0000-0000-00006F110000}"/>
    <cellStyle name="Migliaia 54 2 2 4" xfId="7141" xr:uid="{00000000-0005-0000-0000-000070110000}"/>
    <cellStyle name="Migliaia 54 2 2 5" xfId="5219" xr:uid="{00000000-0005-0000-0000-000071110000}"/>
    <cellStyle name="Migliaia 54 2 3" xfId="4060" xr:uid="{00000000-0005-0000-0000-000072110000}"/>
    <cellStyle name="Migliaia 54 2 4" xfId="6195" xr:uid="{00000000-0005-0000-0000-000073110000}"/>
    <cellStyle name="Migliaia 54 2 5" xfId="7140" xr:uid="{00000000-0005-0000-0000-000074110000}"/>
    <cellStyle name="Migliaia 54 2 6" xfId="5218" xr:uid="{00000000-0005-0000-0000-000075110000}"/>
    <cellStyle name="Migliaia 54 3" xfId="1254" xr:uid="{00000000-0005-0000-0000-000076110000}"/>
    <cellStyle name="Migliaia 54 3 2" xfId="1255" xr:uid="{00000000-0005-0000-0000-000077110000}"/>
    <cellStyle name="Migliaia 54 3 2 2" xfId="4061" xr:uid="{00000000-0005-0000-0000-000078110000}"/>
    <cellStyle name="Migliaia 54 3 2 2 2" xfId="6199" xr:uid="{00000000-0005-0000-0000-000079110000}"/>
    <cellStyle name="Migliaia 54 3 2 2 3" xfId="7144" xr:uid="{00000000-0005-0000-0000-00007A110000}"/>
    <cellStyle name="Migliaia 54 3 2 2 4" xfId="5222" xr:uid="{00000000-0005-0000-0000-00007B110000}"/>
    <cellStyle name="Migliaia 54 3 2 3" xfId="4062" xr:uid="{00000000-0005-0000-0000-00007C110000}"/>
    <cellStyle name="Migliaia 54 3 2 4" xfId="6198" xr:uid="{00000000-0005-0000-0000-00007D110000}"/>
    <cellStyle name="Migliaia 54 3 2 5" xfId="7143" xr:uid="{00000000-0005-0000-0000-00007E110000}"/>
    <cellStyle name="Migliaia 54 3 2 6" xfId="5221" xr:uid="{00000000-0005-0000-0000-00007F110000}"/>
    <cellStyle name="Migliaia 54 3 3" xfId="1256" xr:uid="{00000000-0005-0000-0000-000080110000}"/>
    <cellStyle name="Migliaia 54 3 3 2" xfId="2559" xr:uid="{00000000-0005-0000-0000-000081110000}"/>
    <cellStyle name="Migliaia 54 3 4" xfId="2558" xr:uid="{00000000-0005-0000-0000-000082110000}"/>
    <cellStyle name="Migliaia 54 3 5" xfId="4063" xr:uid="{00000000-0005-0000-0000-000083110000}"/>
    <cellStyle name="Migliaia 54 3 6" xfId="6197" xr:uid="{00000000-0005-0000-0000-000084110000}"/>
    <cellStyle name="Migliaia 54 3 7" xfId="7142" xr:uid="{00000000-0005-0000-0000-000085110000}"/>
    <cellStyle name="Migliaia 54 3 8" xfId="5220" xr:uid="{00000000-0005-0000-0000-000086110000}"/>
    <cellStyle name="Migliaia 54 4" xfId="1257" xr:uid="{00000000-0005-0000-0000-000087110000}"/>
    <cellStyle name="Migliaia 54 4 2" xfId="1258" xr:uid="{00000000-0005-0000-0000-000088110000}"/>
    <cellStyle name="Migliaia 54 4 2 2" xfId="2561" xr:uid="{00000000-0005-0000-0000-000089110000}"/>
    <cellStyle name="Migliaia 54 4 2 3" xfId="4064" xr:uid="{00000000-0005-0000-0000-00008A110000}"/>
    <cellStyle name="Migliaia 54 4 2 4" xfId="6201" xr:uid="{00000000-0005-0000-0000-00008B110000}"/>
    <cellStyle name="Migliaia 54 4 2 5" xfId="7146" xr:uid="{00000000-0005-0000-0000-00008C110000}"/>
    <cellStyle name="Migliaia 54 4 2 6" xfId="5224" xr:uid="{00000000-0005-0000-0000-00008D110000}"/>
    <cellStyle name="Migliaia 54 4 3" xfId="2560" xr:uid="{00000000-0005-0000-0000-00008E110000}"/>
    <cellStyle name="Migliaia 54 4 4" xfId="4065" xr:uid="{00000000-0005-0000-0000-00008F110000}"/>
    <cellStyle name="Migliaia 54 4 5" xfId="6200" xr:uid="{00000000-0005-0000-0000-000090110000}"/>
    <cellStyle name="Migliaia 54 4 6" xfId="7145" xr:uid="{00000000-0005-0000-0000-000091110000}"/>
    <cellStyle name="Migliaia 54 4 7" xfId="5223" xr:uid="{00000000-0005-0000-0000-000092110000}"/>
    <cellStyle name="Migliaia 54 5" xfId="1259" xr:uid="{00000000-0005-0000-0000-000093110000}"/>
    <cellStyle name="Migliaia 54 5 2" xfId="4066" xr:uid="{00000000-0005-0000-0000-000094110000}"/>
    <cellStyle name="Migliaia 54 5 3" xfId="6202" xr:uid="{00000000-0005-0000-0000-000095110000}"/>
    <cellStyle name="Migliaia 54 5 4" xfId="7147" xr:uid="{00000000-0005-0000-0000-000096110000}"/>
    <cellStyle name="Migliaia 54 5 5" xfId="5225" xr:uid="{00000000-0005-0000-0000-000097110000}"/>
    <cellStyle name="Migliaia 54 6" xfId="4067" xr:uid="{00000000-0005-0000-0000-000098110000}"/>
    <cellStyle name="Migliaia 54 7" xfId="6194" xr:uid="{00000000-0005-0000-0000-000099110000}"/>
    <cellStyle name="Migliaia 54 8" xfId="7139" xr:uid="{00000000-0005-0000-0000-00009A110000}"/>
    <cellStyle name="Migliaia 54 9" xfId="5217" xr:uid="{00000000-0005-0000-0000-00009B110000}"/>
    <cellStyle name="Migliaia 55" xfId="195" xr:uid="{00000000-0005-0000-0000-00009C110000}"/>
    <cellStyle name="Migliaia 55 2" xfId="537" xr:uid="{00000000-0005-0000-0000-00009D110000}"/>
    <cellStyle name="Migliaia 55 2 2" xfId="2562" xr:uid="{00000000-0005-0000-0000-00009E110000}"/>
    <cellStyle name="Migliaia 55 2 2 2" xfId="4068" xr:uid="{00000000-0005-0000-0000-00009F110000}"/>
    <cellStyle name="Migliaia 55 2 2 3" xfId="6205" xr:uid="{00000000-0005-0000-0000-0000A0110000}"/>
    <cellStyle name="Migliaia 55 2 2 4" xfId="7150" xr:uid="{00000000-0005-0000-0000-0000A1110000}"/>
    <cellStyle name="Migliaia 55 2 2 5" xfId="5228" xr:uid="{00000000-0005-0000-0000-0000A2110000}"/>
    <cellStyle name="Migliaia 55 2 3" xfId="4069" xr:uid="{00000000-0005-0000-0000-0000A3110000}"/>
    <cellStyle name="Migliaia 55 2 4" xfId="6204" xr:uid="{00000000-0005-0000-0000-0000A4110000}"/>
    <cellStyle name="Migliaia 55 2 5" xfId="7149" xr:uid="{00000000-0005-0000-0000-0000A5110000}"/>
    <cellStyle name="Migliaia 55 2 6" xfId="5227" xr:uid="{00000000-0005-0000-0000-0000A6110000}"/>
    <cellStyle name="Migliaia 55 3" xfId="1260" xr:uid="{00000000-0005-0000-0000-0000A7110000}"/>
    <cellStyle name="Migliaia 55 3 2" xfId="1261" xr:uid="{00000000-0005-0000-0000-0000A8110000}"/>
    <cellStyle name="Migliaia 55 3 2 2" xfId="4070" xr:uid="{00000000-0005-0000-0000-0000A9110000}"/>
    <cellStyle name="Migliaia 55 3 2 2 2" xfId="6208" xr:uid="{00000000-0005-0000-0000-0000AA110000}"/>
    <cellStyle name="Migliaia 55 3 2 2 3" xfId="7153" xr:uid="{00000000-0005-0000-0000-0000AB110000}"/>
    <cellStyle name="Migliaia 55 3 2 2 4" xfId="5231" xr:uid="{00000000-0005-0000-0000-0000AC110000}"/>
    <cellStyle name="Migliaia 55 3 2 3" xfId="4071" xr:uid="{00000000-0005-0000-0000-0000AD110000}"/>
    <cellStyle name="Migliaia 55 3 2 4" xfId="6207" xr:uid="{00000000-0005-0000-0000-0000AE110000}"/>
    <cellStyle name="Migliaia 55 3 2 5" xfId="7152" xr:uid="{00000000-0005-0000-0000-0000AF110000}"/>
    <cellStyle name="Migliaia 55 3 2 6" xfId="5230" xr:uid="{00000000-0005-0000-0000-0000B0110000}"/>
    <cellStyle name="Migliaia 55 3 3" xfId="1262" xr:uid="{00000000-0005-0000-0000-0000B1110000}"/>
    <cellStyle name="Migliaia 55 3 3 2" xfId="2564" xr:uid="{00000000-0005-0000-0000-0000B2110000}"/>
    <cellStyle name="Migliaia 55 3 4" xfId="2563" xr:uid="{00000000-0005-0000-0000-0000B3110000}"/>
    <cellStyle name="Migliaia 55 3 5" xfId="4072" xr:uid="{00000000-0005-0000-0000-0000B4110000}"/>
    <cellStyle name="Migliaia 55 3 6" xfId="6206" xr:uid="{00000000-0005-0000-0000-0000B5110000}"/>
    <cellStyle name="Migliaia 55 3 7" xfId="7151" xr:uid="{00000000-0005-0000-0000-0000B6110000}"/>
    <cellStyle name="Migliaia 55 3 8" xfId="5229" xr:uid="{00000000-0005-0000-0000-0000B7110000}"/>
    <cellStyle name="Migliaia 55 4" xfId="1263" xr:uid="{00000000-0005-0000-0000-0000B8110000}"/>
    <cellStyle name="Migliaia 55 4 2" xfId="1264" xr:uid="{00000000-0005-0000-0000-0000B9110000}"/>
    <cellStyle name="Migliaia 55 4 2 2" xfId="2566" xr:uid="{00000000-0005-0000-0000-0000BA110000}"/>
    <cellStyle name="Migliaia 55 4 2 3" xfId="4073" xr:uid="{00000000-0005-0000-0000-0000BB110000}"/>
    <cellStyle name="Migliaia 55 4 2 4" xfId="6210" xr:uid="{00000000-0005-0000-0000-0000BC110000}"/>
    <cellStyle name="Migliaia 55 4 2 5" xfId="7155" xr:uid="{00000000-0005-0000-0000-0000BD110000}"/>
    <cellStyle name="Migliaia 55 4 2 6" xfId="5233" xr:uid="{00000000-0005-0000-0000-0000BE110000}"/>
    <cellStyle name="Migliaia 55 4 3" xfId="2565" xr:uid="{00000000-0005-0000-0000-0000BF110000}"/>
    <cellStyle name="Migliaia 55 4 4" xfId="4074" xr:uid="{00000000-0005-0000-0000-0000C0110000}"/>
    <cellStyle name="Migliaia 55 4 5" xfId="6209" xr:uid="{00000000-0005-0000-0000-0000C1110000}"/>
    <cellStyle name="Migliaia 55 4 6" xfId="7154" xr:uid="{00000000-0005-0000-0000-0000C2110000}"/>
    <cellStyle name="Migliaia 55 4 7" xfId="5232" xr:uid="{00000000-0005-0000-0000-0000C3110000}"/>
    <cellStyle name="Migliaia 55 5" xfId="1265" xr:uid="{00000000-0005-0000-0000-0000C4110000}"/>
    <cellStyle name="Migliaia 55 5 2" xfId="4075" xr:uid="{00000000-0005-0000-0000-0000C5110000}"/>
    <cellStyle name="Migliaia 55 5 3" xfId="6211" xr:uid="{00000000-0005-0000-0000-0000C6110000}"/>
    <cellStyle name="Migliaia 55 5 4" xfId="7156" xr:uid="{00000000-0005-0000-0000-0000C7110000}"/>
    <cellStyle name="Migliaia 55 5 5" xfId="5234" xr:uid="{00000000-0005-0000-0000-0000C8110000}"/>
    <cellStyle name="Migliaia 55 6" xfId="4076" xr:uid="{00000000-0005-0000-0000-0000C9110000}"/>
    <cellStyle name="Migliaia 55 7" xfId="6203" xr:uid="{00000000-0005-0000-0000-0000CA110000}"/>
    <cellStyle name="Migliaia 55 8" xfId="7148" xr:uid="{00000000-0005-0000-0000-0000CB110000}"/>
    <cellStyle name="Migliaia 55 9" xfId="5226" xr:uid="{00000000-0005-0000-0000-0000CC110000}"/>
    <cellStyle name="Migliaia 56" xfId="196" xr:uid="{00000000-0005-0000-0000-0000CD110000}"/>
    <cellStyle name="Migliaia 56 2" xfId="538" xr:uid="{00000000-0005-0000-0000-0000CE110000}"/>
    <cellStyle name="Migliaia 56 2 2" xfId="2567" xr:uid="{00000000-0005-0000-0000-0000CF110000}"/>
    <cellStyle name="Migliaia 56 2 2 2" xfId="4077" xr:uid="{00000000-0005-0000-0000-0000D0110000}"/>
    <cellStyle name="Migliaia 56 2 2 3" xfId="6214" xr:uid="{00000000-0005-0000-0000-0000D1110000}"/>
    <cellStyle name="Migliaia 56 2 2 4" xfId="7159" xr:uid="{00000000-0005-0000-0000-0000D2110000}"/>
    <cellStyle name="Migliaia 56 2 2 5" xfId="5237" xr:uid="{00000000-0005-0000-0000-0000D3110000}"/>
    <cellStyle name="Migliaia 56 2 3" xfId="4078" xr:uid="{00000000-0005-0000-0000-0000D4110000}"/>
    <cellStyle name="Migliaia 56 2 4" xfId="6213" xr:uid="{00000000-0005-0000-0000-0000D5110000}"/>
    <cellStyle name="Migliaia 56 2 5" xfId="7158" xr:uid="{00000000-0005-0000-0000-0000D6110000}"/>
    <cellStyle name="Migliaia 56 2 6" xfId="5236" xr:uid="{00000000-0005-0000-0000-0000D7110000}"/>
    <cellStyle name="Migliaia 56 3" xfId="1266" xr:uid="{00000000-0005-0000-0000-0000D8110000}"/>
    <cellStyle name="Migliaia 56 3 2" xfId="1267" xr:uid="{00000000-0005-0000-0000-0000D9110000}"/>
    <cellStyle name="Migliaia 56 3 2 2" xfId="4079" xr:uid="{00000000-0005-0000-0000-0000DA110000}"/>
    <cellStyle name="Migliaia 56 3 2 2 2" xfId="6217" xr:uid="{00000000-0005-0000-0000-0000DB110000}"/>
    <cellStyle name="Migliaia 56 3 2 2 3" xfId="7162" xr:uid="{00000000-0005-0000-0000-0000DC110000}"/>
    <cellStyle name="Migliaia 56 3 2 2 4" xfId="5240" xr:uid="{00000000-0005-0000-0000-0000DD110000}"/>
    <cellStyle name="Migliaia 56 3 2 3" xfId="4080" xr:uid="{00000000-0005-0000-0000-0000DE110000}"/>
    <cellStyle name="Migliaia 56 3 2 4" xfId="6216" xr:uid="{00000000-0005-0000-0000-0000DF110000}"/>
    <cellStyle name="Migliaia 56 3 2 5" xfId="7161" xr:uid="{00000000-0005-0000-0000-0000E0110000}"/>
    <cellStyle name="Migliaia 56 3 2 6" xfId="5239" xr:uid="{00000000-0005-0000-0000-0000E1110000}"/>
    <cellStyle name="Migliaia 56 3 3" xfId="1268" xr:uid="{00000000-0005-0000-0000-0000E2110000}"/>
    <cellStyle name="Migliaia 56 3 3 2" xfId="2569" xr:uid="{00000000-0005-0000-0000-0000E3110000}"/>
    <cellStyle name="Migliaia 56 3 4" xfId="2568" xr:uid="{00000000-0005-0000-0000-0000E4110000}"/>
    <cellStyle name="Migliaia 56 3 5" xfId="4081" xr:uid="{00000000-0005-0000-0000-0000E5110000}"/>
    <cellStyle name="Migliaia 56 3 6" xfId="6215" xr:uid="{00000000-0005-0000-0000-0000E6110000}"/>
    <cellStyle name="Migliaia 56 3 7" xfId="7160" xr:uid="{00000000-0005-0000-0000-0000E7110000}"/>
    <cellStyle name="Migliaia 56 3 8" xfId="5238" xr:uid="{00000000-0005-0000-0000-0000E8110000}"/>
    <cellStyle name="Migliaia 56 4" xfId="1269" xr:uid="{00000000-0005-0000-0000-0000E9110000}"/>
    <cellStyle name="Migliaia 56 4 2" xfId="1270" xr:uid="{00000000-0005-0000-0000-0000EA110000}"/>
    <cellStyle name="Migliaia 56 4 2 2" xfId="2571" xr:uid="{00000000-0005-0000-0000-0000EB110000}"/>
    <cellStyle name="Migliaia 56 4 2 3" xfId="4082" xr:uid="{00000000-0005-0000-0000-0000EC110000}"/>
    <cellStyle name="Migliaia 56 4 2 4" xfId="6219" xr:uid="{00000000-0005-0000-0000-0000ED110000}"/>
    <cellStyle name="Migliaia 56 4 2 5" xfId="7164" xr:uid="{00000000-0005-0000-0000-0000EE110000}"/>
    <cellStyle name="Migliaia 56 4 2 6" xfId="5242" xr:uid="{00000000-0005-0000-0000-0000EF110000}"/>
    <cellStyle name="Migliaia 56 4 3" xfId="2570" xr:uid="{00000000-0005-0000-0000-0000F0110000}"/>
    <cellStyle name="Migliaia 56 4 4" xfId="4083" xr:uid="{00000000-0005-0000-0000-0000F1110000}"/>
    <cellStyle name="Migliaia 56 4 5" xfId="6218" xr:uid="{00000000-0005-0000-0000-0000F2110000}"/>
    <cellStyle name="Migliaia 56 4 6" xfId="7163" xr:uid="{00000000-0005-0000-0000-0000F3110000}"/>
    <cellStyle name="Migliaia 56 4 7" xfId="5241" xr:uid="{00000000-0005-0000-0000-0000F4110000}"/>
    <cellStyle name="Migliaia 56 5" xfId="1271" xr:uid="{00000000-0005-0000-0000-0000F5110000}"/>
    <cellStyle name="Migliaia 56 5 2" xfId="4084" xr:uid="{00000000-0005-0000-0000-0000F6110000}"/>
    <cellStyle name="Migliaia 56 5 3" xfId="6220" xr:uid="{00000000-0005-0000-0000-0000F7110000}"/>
    <cellStyle name="Migliaia 56 5 4" xfId="7165" xr:uid="{00000000-0005-0000-0000-0000F8110000}"/>
    <cellStyle name="Migliaia 56 5 5" xfId="5243" xr:uid="{00000000-0005-0000-0000-0000F9110000}"/>
    <cellStyle name="Migliaia 56 6" xfId="4085" xr:uid="{00000000-0005-0000-0000-0000FA110000}"/>
    <cellStyle name="Migliaia 56 7" xfId="6212" xr:uid="{00000000-0005-0000-0000-0000FB110000}"/>
    <cellStyle name="Migliaia 56 8" xfId="7157" xr:uid="{00000000-0005-0000-0000-0000FC110000}"/>
    <cellStyle name="Migliaia 56 9" xfId="5235" xr:uid="{00000000-0005-0000-0000-0000FD110000}"/>
    <cellStyle name="Migliaia 57" xfId="197" xr:uid="{00000000-0005-0000-0000-0000FE110000}"/>
    <cellStyle name="Migliaia 57 2" xfId="539" xr:uid="{00000000-0005-0000-0000-0000FF110000}"/>
    <cellStyle name="Migliaia 57 2 2" xfId="2572" xr:uid="{00000000-0005-0000-0000-000000120000}"/>
    <cellStyle name="Migliaia 57 2 2 2" xfId="4086" xr:uid="{00000000-0005-0000-0000-000001120000}"/>
    <cellStyle name="Migliaia 57 2 2 3" xfId="6223" xr:uid="{00000000-0005-0000-0000-000002120000}"/>
    <cellStyle name="Migliaia 57 2 2 4" xfId="7168" xr:uid="{00000000-0005-0000-0000-000003120000}"/>
    <cellStyle name="Migliaia 57 2 2 5" xfId="5246" xr:uid="{00000000-0005-0000-0000-000004120000}"/>
    <cellStyle name="Migliaia 57 2 3" xfId="4087" xr:uid="{00000000-0005-0000-0000-000005120000}"/>
    <cellStyle name="Migliaia 57 2 4" xfId="6222" xr:uid="{00000000-0005-0000-0000-000006120000}"/>
    <cellStyle name="Migliaia 57 2 5" xfId="7167" xr:uid="{00000000-0005-0000-0000-000007120000}"/>
    <cellStyle name="Migliaia 57 2 6" xfId="5245" xr:uid="{00000000-0005-0000-0000-000008120000}"/>
    <cellStyle name="Migliaia 57 3" xfId="1272" xr:uid="{00000000-0005-0000-0000-000009120000}"/>
    <cellStyle name="Migliaia 57 3 2" xfId="1273" xr:uid="{00000000-0005-0000-0000-00000A120000}"/>
    <cellStyle name="Migliaia 57 3 2 2" xfId="4088" xr:uid="{00000000-0005-0000-0000-00000B120000}"/>
    <cellStyle name="Migliaia 57 3 2 2 2" xfId="6226" xr:uid="{00000000-0005-0000-0000-00000C120000}"/>
    <cellStyle name="Migliaia 57 3 2 2 3" xfId="7171" xr:uid="{00000000-0005-0000-0000-00000D120000}"/>
    <cellStyle name="Migliaia 57 3 2 2 4" xfId="5249" xr:uid="{00000000-0005-0000-0000-00000E120000}"/>
    <cellStyle name="Migliaia 57 3 2 3" xfId="4089" xr:uid="{00000000-0005-0000-0000-00000F120000}"/>
    <cellStyle name="Migliaia 57 3 2 4" xfId="6225" xr:uid="{00000000-0005-0000-0000-000010120000}"/>
    <cellStyle name="Migliaia 57 3 2 5" xfId="7170" xr:uid="{00000000-0005-0000-0000-000011120000}"/>
    <cellStyle name="Migliaia 57 3 2 6" xfId="5248" xr:uid="{00000000-0005-0000-0000-000012120000}"/>
    <cellStyle name="Migliaia 57 3 3" xfId="1274" xr:uid="{00000000-0005-0000-0000-000013120000}"/>
    <cellStyle name="Migliaia 57 3 3 2" xfId="2574" xr:uid="{00000000-0005-0000-0000-000014120000}"/>
    <cellStyle name="Migliaia 57 3 4" xfId="2573" xr:uid="{00000000-0005-0000-0000-000015120000}"/>
    <cellStyle name="Migliaia 57 3 5" xfId="4090" xr:uid="{00000000-0005-0000-0000-000016120000}"/>
    <cellStyle name="Migliaia 57 3 6" xfId="6224" xr:uid="{00000000-0005-0000-0000-000017120000}"/>
    <cellStyle name="Migliaia 57 3 7" xfId="7169" xr:uid="{00000000-0005-0000-0000-000018120000}"/>
    <cellStyle name="Migliaia 57 3 8" xfId="5247" xr:uid="{00000000-0005-0000-0000-000019120000}"/>
    <cellStyle name="Migliaia 57 4" xfId="1275" xr:uid="{00000000-0005-0000-0000-00001A120000}"/>
    <cellStyle name="Migliaia 57 4 2" xfId="1276" xr:uid="{00000000-0005-0000-0000-00001B120000}"/>
    <cellStyle name="Migliaia 57 4 2 2" xfId="2576" xr:uid="{00000000-0005-0000-0000-00001C120000}"/>
    <cellStyle name="Migliaia 57 4 2 3" xfId="4091" xr:uid="{00000000-0005-0000-0000-00001D120000}"/>
    <cellStyle name="Migliaia 57 4 2 4" xfId="6228" xr:uid="{00000000-0005-0000-0000-00001E120000}"/>
    <cellStyle name="Migliaia 57 4 2 5" xfId="7173" xr:uid="{00000000-0005-0000-0000-00001F120000}"/>
    <cellStyle name="Migliaia 57 4 2 6" xfId="5251" xr:uid="{00000000-0005-0000-0000-000020120000}"/>
    <cellStyle name="Migliaia 57 4 3" xfId="2575" xr:uid="{00000000-0005-0000-0000-000021120000}"/>
    <cellStyle name="Migliaia 57 4 4" xfId="4092" xr:uid="{00000000-0005-0000-0000-000022120000}"/>
    <cellStyle name="Migliaia 57 4 5" xfId="6227" xr:uid="{00000000-0005-0000-0000-000023120000}"/>
    <cellStyle name="Migliaia 57 4 6" xfId="7172" xr:uid="{00000000-0005-0000-0000-000024120000}"/>
    <cellStyle name="Migliaia 57 4 7" xfId="5250" xr:uid="{00000000-0005-0000-0000-000025120000}"/>
    <cellStyle name="Migliaia 57 5" xfId="1277" xr:uid="{00000000-0005-0000-0000-000026120000}"/>
    <cellStyle name="Migliaia 57 5 2" xfId="4093" xr:uid="{00000000-0005-0000-0000-000027120000}"/>
    <cellStyle name="Migliaia 57 5 3" xfId="6229" xr:uid="{00000000-0005-0000-0000-000028120000}"/>
    <cellStyle name="Migliaia 57 5 4" xfId="7174" xr:uid="{00000000-0005-0000-0000-000029120000}"/>
    <cellStyle name="Migliaia 57 5 5" xfId="5252" xr:uid="{00000000-0005-0000-0000-00002A120000}"/>
    <cellStyle name="Migliaia 57 6" xfId="4094" xr:uid="{00000000-0005-0000-0000-00002B120000}"/>
    <cellStyle name="Migliaia 57 7" xfId="6221" xr:uid="{00000000-0005-0000-0000-00002C120000}"/>
    <cellStyle name="Migliaia 57 8" xfId="7166" xr:uid="{00000000-0005-0000-0000-00002D120000}"/>
    <cellStyle name="Migliaia 57 9" xfId="5244" xr:uid="{00000000-0005-0000-0000-00002E120000}"/>
    <cellStyle name="Migliaia 58" xfId="198" xr:uid="{00000000-0005-0000-0000-00002F120000}"/>
    <cellStyle name="Migliaia 58 2" xfId="540" xr:uid="{00000000-0005-0000-0000-000030120000}"/>
    <cellStyle name="Migliaia 58 2 2" xfId="2577" xr:uid="{00000000-0005-0000-0000-000031120000}"/>
    <cellStyle name="Migliaia 58 2 2 2" xfId="4095" xr:uid="{00000000-0005-0000-0000-000032120000}"/>
    <cellStyle name="Migliaia 58 2 2 3" xfId="6232" xr:uid="{00000000-0005-0000-0000-000033120000}"/>
    <cellStyle name="Migliaia 58 2 2 4" xfId="7177" xr:uid="{00000000-0005-0000-0000-000034120000}"/>
    <cellStyle name="Migliaia 58 2 2 5" xfId="5255" xr:uid="{00000000-0005-0000-0000-000035120000}"/>
    <cellStyle name="Migliaia 58 2 3" xfId="4096" xr:uid="{00000000-0005-0000-0000-000036120000}"/>
    <cellStyle name="Migliaia 58 2 4" xfId="6231" xr:uid="{00000000-0005-0000-0000-000037120000}"/>
    <cellStyle name="Migliaia 58 2 5" xfId="7176" xr:uid="{00000000-0005-0000-0000-000038120000}"/>
    <cellStyle name="Migliaia 58 2 6" xfId="5254" xr:uid="{00000000-0005-0000-0000-000039120000}"/>
    <cellStyle name="Migliaia 58 3" xfId="1278" xr:uid="{00000000-0005-0000-0000-00003A120000}"/>
    <cellStyle name="Migliaia 58 3 2" xfId="1279" xr:uid="{00000000-0005-0000-0000-00003B120000}"/>
    <cellStyle name="Migliaia 58 3 2 2" xfId="4097" xr:uid="{00000000-0005-0000-0000-00003C120000}"/>
    <cellStyle name="Migliaia 58 3 2 2 2" xfId="6235" xr:uid="{00000000-0005-0000-0000-00003D120000}"/>
    <cellStyle name="Migliaia 58 3 2 2 3" xfId="7180" xr:uid="{00000000-0005-0000-0000-00003E120000}"/>
    <cellStyle name="Migliaia 58 3 2 2 4" xfId="5258" xr:uid="{00000000-0005-0000-0000-00003F120000}"/>
    <cellStyle name="Migliaia 58 3 2 3" xfId="4098" xr:uid="{00000000-0005-0000-0000-000040120000}"/>
    <cellStyle name="Migliaia 58 3 2 4" xfId="6234" xr:uid="{00000000-0005-0000-0000-000041120000}"/>
    <cellStyle name="Migliaia 58 3 2 5" xfId="7179" xr:uid="{00000000-0005-0000-0000-000042120000}"/>
    <cellStyle name="Migliaia 58 3 2 6" xfId="5257" xr:uid="{00000000-0005-0000-0000-000043120000}"/>
    <cellStyle name="Migliaia 58 3 3" xfId="1280" xr:uid="{00000000-0005-0000-0000-000044120000}"/>
    <cellStyle name="Migliaia 58 3 3 2" xfId="2579" xr:uid="{00000000-0005-0000-0000-000045120000}"/>
    <cellStyle name="Migliaia 58 3 4" xfId="2578" xr:uid="{00000000-0005-0000-0000-000046120000}"/>
    <cellStyle name="Migliaia 58 3 5" xfId="4099" xr:uid="{00000000-0005-0000-0000-000047120000}"/>
    <cellStyle name="Migliaia 58 3 6" xfId="6233" xr:uid="{00000000-0005-0000-0000-000048120000}"/>
    <cellStyle name="Migliaia 58 3 7" xfId="7178" xr:uid="{00000000-0005-0000-0000-000049120000}"/>
    <cellStyle name="Migliaia 58 3 8" xfId="5256" xr:uid="{00000000-0005-0000-0000-00004A120000}"/>
    <cellStyle name="Migliaia 58 4" xfId="1281" xr:uid="{00000000-0005-0000-0000-00004B120000}"/>
    <cellStyle name="Migliaia 58 4 2" xfId="1282" xr:uid="{00000000-0005-0000-0000-00004C120000}"/>
    <cellStyle name="Migliaia 58 4 2 2" xfId="2581" xr:uid="{00000000-0005-0000-0000-00004D120000}"/>
    <cellStyle name="Migliaia 58 4 2 3" xfId="4100" xr:uid="{00000000-0005-0000-0000-00004E120000}"/>
    <cellStyle name="Migliaia 58 4 2 4" xfId="6237" xr:uid="{00000000-0005-0000-0000-00004F120000}"/>
    <cellStyle name="Migliaia 58 4 2 5" xfId="7182" xr:uid="{00000000-0005-0000-0000-000050120000}"/>
    <cellStyle name="Migliaia 58 4 2 6" xfId="5260" xr:uid="{00000000-0005-0000-0000-000051120000}"/>
    <cellStyle name="Migliaia 58 4 3" xfId="2580" xr:uid="{00000000-0005-0000-0000-000052120000}"/>
    <cellStyle name="Migliaia 58 4 4" xfId="4101" xr:uid="{00000000-0005-0000-0000-000053120000}"/>
    <cellStyle name="Migliaia 58 4 5" xfId="6236" xr:uid="{00000000-0005-0000-0000-000054120000}"/>
    <cellStyle name="Migliaia 58 4 6" xfId="7181" xr:uid="{00000000-0005-0000-0000-000055120000}"/>
    <cellStyle name="Migliaia 58 4 7" xfId="5259" xr:uid="{00000000-0005-0000-0000-000056120000}"/>
    <cellStyle name="Migliaia 58 5" xfId="1283" xr:uid="{00000000-0005-0000-0000-000057120000}"/>
    <cellStyle name="Migliaia 58 5 2" xfId="4102" xr:uid="{00000000-0005-0000-0000-000058120000}"/>
    <cellStyle name="Migliaia 58 5 3" xfId="6238" xr:uid="{00000000-0005-0000-0000-000059120000}"/>
    <cellStyle name="Migliaia 58 5 4" xfId="7183" xr:uid="{00000000-0005-0000-0000-00005A120000}"/>
    <cellStyle name="Migliaia 58 5 5" xfId="5261" xr:uid="{00000000-0005-0000-0000-00005B120000}"/>
    <cellStyle name="Migliaia 58 6" xfId="4103" xr:uid="{00000000-0005-0000-0000-00005C120000}"/>
    <cellStyle name="Migliaia 58 7" xfId="6230" xr:uid="{00000000-0005-0000-0000-00005D120000}"/>
    <cellStyle name="Migliaia 58 8" xfId="7175" xr:uid="{00000000-0005-0000-0000-00005E120000}"/>
    <cellStyle name="Migliaia 58 9" xfId="5253" xr:uid="{00000000-0005-0000-0000-00005F120000}"/>
    <cellStyle name="Migliaia 59" xfId="199" xr:uid="{00000000-0005-0000-0000-000060120000}"/>
    <cellStyle name="Migliaia 59 2" xfId="541" xr:uid="{00000000-0005-0000-0000-000061120000}"/>
    <cellStyle name="Migliaia 59 2 2" xfId="2582" xr:uid="{00000000-0005-0000-0000-000062120000}"/>
    <cellStyle name="Migliaia 59 2 2 2" xfId="4104" xr:uid="{00000000-0005-0000-0000-000063120000}"/>
    <cellStyle name="Migliaia 59 2 2 3" xfId="6241" xr:uid="{00000000-0005-0000-0000-000064120000}"/>
    <cellStyle name="Migliaia 59 2 2 4" xfId="7186" xr:uid="{00000000-0005-0000-0000-000065120000}"/>
    <cellStyle name="Migliaia 59 2 2 5" xfId="5264" xr:uid="{00000000-0005-0000-0000-000066120000}"/>
    <cellStyle name="Migliaia 59 2 3" xfId="4105" xr:uid="{00000000-0005-0000-0000-000067120000}"/>
    <cellStyle name="Migliaia 59 2 4" xfId="6240" xr:uid="{00000000-0005-0000-0000-000068120000}"/>
    <cellStyle name="Migliaia 59 2 5" xfId="7185" xr:uid="{00000000-0005-0000-0000-000069120000}"/>
    <cellStyle name="Migliaia 59 2 6" xfId="5263" xr:uid="{00000000-0005-0000-0000-00006A120000}"/>
    <cellStyle name="Migliaia 59 3" xfId="1284" xr:uid="{00000000-0005-0000-0000-00006B120000}"/>
    <cellStyle name="Migliaia 59 3 2" xfId="1285" xr:uid="{00000000-0005-0000-0000-00006C120000}"/>
    <cellStyle name="Migliaia 59 3 2 2" xfId="4106" xr:uid="{00000000-0005-0000-0000-00006D120000}"/>
    <cellStyle name="Migliaia 59 3 2 2 2" xfId="6244" xr:uid="{00000000-0005-0000-0000-00006E120000}"/>
    <cellStyle name="Migliaia 59 3 2 2 3" xfId="7189" xr:uid="{00000000-0005-0000-0000-00006F120000}"/>
    <cellStyle name="Migliaia 59 3 2 2 4" xfId="5267" xr:uid="{00000000-0005-0000-0000-000070120000}"/>
    <cellStyle name="Migliaia 59 3 2 3" xfId="4107" xr:uid="{00000000-0005-0000-0000-000071120000}"/>
    <cellStyle name="Migliaia 59 3 2 4" xfId="6243" xr:uid="{00000000-0005-0000-0000-000072120000}"/>
    <cellStyle name="Migliaia 59 3 2 5" xfId="7188" xr:uid="{00000000-0005-0000-0000-000073120000}"/>
    <cellStyle name="Migliaia 59 3 2 6" xfId="5266" xr:uid="{00000000-0005-0000-0000-000074120000}"/>
    <cellStyle name="Migliaia 59 3 3" xfId="1286" xr:uid="{00000000-0005-0000-0000-000075120000}"/>
    <cellStyle name="Migliaia 59 3 3 2" xfId="2584" xr:uid="{00000000-0005-0000-0000-000076120000}"/>
    <cellStyle name="Migliaia 59 3 4" xfId="2583" xr:uid="{00000000-0005-0000-0000-000077120000}"/>
    <cellStyle name="Migliaia 59 3 5" xfId="4108" xr:uid="{00000000-0005-0000-0000-000078120000}"/>
    <cellStyle name="Migliaia 59 3 6" xfId="6242" xr:uid="{00000000-0005-0000-0000-000079120000}"/>
    <cellStyle name="Migliaia 59 3 7" xfId="7187" xr:uid="{00000000-0005-0000-0000-00007A120000}"/>
    <cellStyle name="Migliaia 59 3 8" xfId="5265" xr:uid="{00000000-0005-0000-0000-00007B120000}"/>
    <cellStyle name="Migliaia 59 4" xfId="1287" xr:uid="{00000000-0005-0000-0000-00007C120000}"/>
    <cellStyle name="Migliaia 59 4 2" xfId="1288" xr:uid="{00000000-0005-0000-0000-00007D120000}"/>
    <cellStyle name="Migliaia 59 4 2 2" xfId="2586" xr:uid="{00000000-0005-0000-0000-00007E120000}"/>
    <cellStyle name="Migliaia 59 4 2 3" xfId="4109" xr:uid="{00000000-0005-0000-0000-00007F120000}"/>
    <cellStyle name="Migliaia 59 4 2 4" xfId="6246" xr:uid="{00000000-0005-0000-0000-000080120000}"/>
    <cellStyle name="Migliaia 59 4 2 5" xfId="7191" xr:uid="{00000000-0005-0000-0000-000081120000}"/>
    <cellStyle name="Migliaia 59 4 2 6" xfId="5269" xr:uid="{00000000-0005-0000-0000-000082120000}"/>
    <cellStyle name="Migliaia 59 4 3" xfId="2585" xr:uid="{00000000-0005-0000-0000-000083120000}"/>
    <cellStyle name="Migliaia 59 4 4" xfId="4110" xr:uid="{00000000-0005-0000-0000-000084120000}"/>
    <cellStyle name="Migliaia 59 4 5" xfId="6245" xr:uid="{00000000-0005-0000-0000-000085120000}"/>
    <cellStyle name="Migliaia 59 4 6" xfId="7190" xr:uid="{00000000-0005-0000-0000-000086120000}"/>
    <cellStyle name="Migliaia 59 4 7" xfId="5268" xr:uid="{00000000-0005-0000-0000-000087120000}"/>
    <cellStyle name="Migliaia 59 5" xfId="1289" xr:uid="{00000000-0005-0000-0000-000088120000}"/>
    <cellStyle name="Migliaia 59 5 2" xfId="4111" xr:uid="{00000000-0005-0000-0000-000089120000}"/>
    <cellStyle name="Migliaia 59 5 3" xfId="6247" xr:uid="{00000000-0005-0000-0000-00008A120000}"/>
    <cellStyle name="Migliaia 59 5 4" xfId="7192" xr:uid="{00000000-0005-0000-0000-00008B120000}"/>
    <cellStyle name="Migliaia 59 5 5" xfId="5270" xr:uid="{00000000-0005-0000-0000-00008C120000}"/>
    <cellStyle name="Migliaia 59 6" xfId="4112" xr:uid="{00000000-0005-0000-0000-00008D120000}"/>
    <cellStyle name="Migliaia 59 7" xfId="6239" xr:uid="{00000000-0005-0000-0000-00008E120000}"/>
    <cellStyle name="Migliaia 59 8" xfId="7184" xr:uid="{00000000-0005-0000-0000-00008F120000}"/>
    <cellStyle name="Migliaia 59 9" xfId="5262" xr:uid="{00000000-0005-0000-0000-000090120000}"/>
    <cellStyle name="Migliaia 6" xfId="200" xr:uid="{00000000-0005-0000-0000-000091120000}"/>
    <cellStyle name="Migliaia 6 2" xfId="542" xr:uid="{00000000-0005-0000-0000-000092120000}"/>
    <cellStyle name="Migliaia 6 2 2" xfId="2587" xr:uid="{00000000-0005-0000-0000-000093120000}"/>
    <cellStyle name="Migliaia 6 2 2 2" xfId="4113" xr:uid="{00000000-0005-0000-0000-000094120000}"/>
    <cellStyle name="Migliaia 6 2 2 3" xfId="6250" xr:uid="{00000000-0005-0000-0000-000095120000}"/>
    <cellStyle name="Migliaia 6 2 2 4" xfId="7195" xr:uid="{00000000-0005-0000-0000-000096120000}"/>
    <cellStyle name="Migliaia 6 2 2 5" xfId="5273" xr:uid="{00000000-0005-0000-0000-000097120000}"/>
    <cellStyle name="Migliaia 6 2 3" xfId="4114" xr:uid="{00000000-0005-0000-0000-000098120000}"/>
    <cellStyle name="Migliaia 6 2 4" xfId="6249" xr:uid="{00000000-0005-0000-0000-000099120000}"/>
    <cellStyle name="Migliaia 6 2 5" xfId="7194" xr:uid="{00000000-0005-0000-0000-00009A120000}"/>
    <cellStyle name="Migliaia 6 2 6" xfId="5272" xr:uid="{00000000-0005-0000-0000-00009B120000}"/>
    <cellStyle name="Migliaia 6 3" xfId="1290" xr:uid="{00000000-0005-0000-0000-00009C120000}"/>
    <cellStyle name="Migliaia 6 3 2" xfId="1291" xr:uid="{00000000-0005-0000-0000-00009D120000}"/>
    <cellStyle name="Migliaia 6 3 2 2" xfId="4115" xr:uid="{00000000-0005-0000-0000-00009E120000}"/>
    <cellStyle name="Migliaia 6 3 2 2 2" xfId="6253" xr:uid="{00000000-0005-0000-0000-00009F120000}"/>
    <cellStyle name="Migliaia 6 3 2 2 3" xfId="7198" xr:uid="{00000000-0005-0000-0000-0000A0120000}"/>
    <cellStyle name="Migliaia 6 3 2 2 4" xfId="5276" xr:uid="{00000000-0005-0000-0000-0000A1120000}"/>
    <cellStyle name="Migliaia 6 3 2 3" xfId="4116" xr:uid="{00000000-0005-0000-0000-0000A2120000}"/>
    <cellStyle name="Migliaia 6 3 2 4" xfId="6252" xr:uid="{00000000-0005-0000-0000-0000A3120000}"/>
    <cellStyle name="Migliaia 6 3 2 5" xfId="7197" xr:uid="{00000000-0005-0000-0000-0000A4120000}"/>
    <cellStyle name="Migliaia 6 3 2 6" xfId="5275" xr:uid="{00000000-0005-0000-0000-0000A5120000}"/>
    <cellStyle name="Migliaia 6 3 3" xfId="1292" xr:uid="{00000000-0005-0000-0000-0000A6120000}"/>
    <cellStyle name="Migliaia 6 3 3 2" xfId="2589" xr:uid="{00000000-0005-0000-0000-0000A7120000}"/>
    <cellStyle name="Migliaia 6 3 4" xfId="2588" xr:uid="{00000000-0005-0000-0000-0000A8120000}"/>
    <cellStyle name="Migliaia 6 3 5" xfId="4117" xr:uid="{00000000-0005-0000-0000-0000A9120000}"/>
    <cellStyle name="Migliaia 6 3 6" xfId="6251" xr:uid="{00000000-0005-0000-0000-0000AA120000}"/>
    <cellStyle name="Migliaia 6 3 7" xfId="7196" xr:uid="{00000000-0005-0000-0000-0000AB120000}"/>
    <cellStyle name="Migliaia 6 3 8" xfId="5274" xr:uid="{00000000-0005-0000-0000-0000AC120000}"/>
    <cellStyle name="Migliaia 6 4" xfId="1293" xr:uid="{00000000-0005-0000-0000-0000AD120000}"/>
    <cellStyle name="Migliaia 6 4 2" xfId="1294" xr:uid="{00000000-0005-0000-0000-0000AE120000}"/>
    <cellStyle name="Migliaia 6 4 2 2" xfId="2591" xr:uid="{00000000-0005-0000-0000-0000AF120000}"/>
    <cellStyle name="Migliaia 6 4 2 3" xfId="4118" xr:uid="{00000000-0005-0000-0000-0000B0120000}"/>
    <cellStyle name="Migliaia 6 4 2 4" xfId="6255" xr:uid="{00000000-0005-0000-0000-0000B1120000}"/>
    <cellStyle name="Migliaia 6 4 2 5" xfId="7200" xr:uid="{00000000-0005-0000-0000-0000B2120000}"/>
    <cellStyle name="Migliaia 6 4 2 6" xfId="5278" xr:uid="{00000000-0005-0000-0000-0000B3120000}"/>
    <cellStyle name="Migliaia 6 4 3" xfId="2590" xr:uid="{00000000-0005-0000-0000-0000B4120000}"/>
    <cellStyle name="Migliaia 6 4 4" xfId="4119" xr:uid="{00000000-0005-0000-0000-0000B5120000}"/>
    <cellStyle name="Migliaia 6 4 5" xfId="6254" xr:uid="{00000000-0005-0000-0000-0000B6120000}"/>
    <cellStyle name="Migliaia 6 4 6" xfId="7199" xr:uid="{00000000-0005-0000-0000-0000B7120000}"/>
    <cellStyle name="Migliaia 6 4 7" xfId="5277" xr:uid="{00000000-0005-0000-0000-0000B8120000}"/>
    <cellStyle name="Migliaia 6 5" xfId="1295" xr:uid="{00000000-0005-0000-0000-0000B9120000}"/>
    <cellStyle name="Migliaia 6 5 2" xfId="4120" xr:uid="{00000000-0005-0000-0000-0000BA120000}"/>
    <cellStyle name="Migliaia 6 5 3" xfId="6256" xr:uid="{00000000-0005-0000-0000-0000BB120000}"/>
    <cellStyle name="Migliaia 6 5 4" xfId="7201" xr:uid="{00000000-0005-0000-0000-0000BC120000}"/>
    <cellStyle name="Migliaia 6 5 5" xfId="5279" xr:uid="{00000000-0005-0000-0000-0000BD120000}"/>
    <cellStyle name="Migliaia 6 6" xfId="4121" xr:uid="{00000000-0005-0000-0000-0000BE120000}"/>
    <cellStyle name="Migliaia 6 7" xfId="6248" xr:uid="{00000000-0005-0000-0000-0000BF120000}"/>
    <cellStyle name="Migliaia 6 8" xfId="7193" xr:uid="{00000000-0005-0000-0000-0000C0120000}"/>
    <cellStyle name="Migliaia 6 9" xfId="5271" xr:uid="{00000000-0005-0000-0000-0000C1120000}"/>
    <cellStyle name="Migliaia 60" xfId="201" xr:uid="{00000000-0005-0000-0000-0000C2120000}"/>
    <cellStyle name="Migliaia 60 2" xfId="543" xr:uid="{00000000-0005-0000-0000-0000C3120000}"/>
    <cellStyle name="Migliaia 60 2 2" xfId="2592" xr:uid="{00000000-0005-0000-0000-0000C4120000}"/>
    <cellStyle name="Migliaia 60 2 2 2" xfId="4122" xr:uid="{00000000-0005-0000-0000-0000C5120000}"/>
    <cellStyle name="Migliaia 60 2 2 3" xfId="6259" xr:uid="{00000000-0005-0000-0000-0000C6120000}"/>
    <cellStyle name="Migliaia 60 2 2 4" xfId="7204" xr:uid="{00000000-0005-0000-0000-0000C7120000}"/>
    <cellStyle name="Migliaia 60 2 2 5" xfId="5282" xr:uid="{00000000-0005-0000-0000-0000C8120000}"/>
    <cellStyle name="Migliaia 60 2 3" xfId="4123" xr:uid="{00000000-0005-0000-0000-0000C9120000}"/>
    <cellStyle name="Migliaia 60 2 4" xfId="6258" xr:uid="{00000000-0005-0000-0000-0000CA120000}"/>
    <cellStyle name="Migliaia 60 2 5" xfId="7203" xr:uid="{00000000-0005-0000-0000-0000CB120000}"/>
    <cellStyle name="Migliaia 60 2 6" xfId="5281" xr:uid="{00000000-0005-0000-0000-0000CC120000}"/>
    <cellStyle name="Migliaia 60 3" xfId="1296" xr:uid="{00000000-0005-0000-0000-0000CD120000}"/>
    <cellStyle name="Migliaia 60 3 2" xfId="1297" xr:uid="{00000000-0005-0000-0000-0000CE120000}"/>
    <cellStyle name="Migliaia 60 3 2 2" xfId="4124" xr:uid="{00000000-0005-0000-0000-0000CF120000}"/>
    <cellStyle name="Migliaia 60 3 2 2 2" xfId="6262" xr:uid="{00000000-0005-0000-0000-0000D0120000}"/>
    <cellStyle name="Migliaia 60 3 2 2 3" xfId="7207" xr:uid="{00000000-0005-0000-0000-0000D1120000}"/>
    <cellStyle name="Migliaia 60 3 2 2 4" xfId="5285" xr:uid="{00000000-0005-0000-0000-0000D2120000}"/>
    <cellStyle name="Migliaia 60 3 2 3" xfId="4125" xr:uid="{00000000-0005-0000-0000-0000D3120000}"/>
    <cellStyle name="Migliaia 60 3 2 4" xfId="6261" xr:uid="{00000000-0005-0000-0000-0000D4120000}"/>
    <cellStyle name="Migliaia 60 3 2 5" xfId="7206" xr:uid="{00000000-0005-0000-0000-0000D5120000}"/>
    <cellStyle name="Migliaia 60 3 2 6" xfId="5284" xr:uid="{00000000-0005-0000-0000-0000D6120000}"/>
    <cellStyle name="Migliaia 60 3 3" xfId="1298" xr:uid="{00000000-0005-0000-0000-0000D7120000}"/>
    <cellStyle name="Migliaia 60 3 3 2" xfId="2594" xr:uid="{00000000-0005-0000-0000-0000D8120000}"/>
    <cellStyle name="Migliaia 60 3 4" xfId="2593" xr:uid="{00000000-0005-0000-0000-0000D9120000}"/>
    <cellStyle name="Migliaia 60 3 5" xfId="4126" xr:uid="{00000000-0005-0000-0000-0000DA120000}"/>
    <cellStyle name="Migliaia 60 3 6" xfId="6260" xr:uid="{00000000-0005-0000-0000-0000DB120000}"/>
    <cellStyle name="Migliaia 60 3 7" xfId="7205" xr:uid="{00000000-0005-0000-0000-0000DC120000}"/>
    <cellStyle name="Migliaia 60 3 8" xfId="5283" xr:uid="{00000000-0005-0000-0000-0000DD120000}"/>
    <cellStyle name="Migliaia 60 4" xfId="1299" xr:uid="{00000000-0005-0000-0000-0000DE120000}"/>
    <cellStyle name="Migliaia 60 4 2" xfId="1300" xr:uid="{00000000-0005-0000-0000-0000DF120000}"/>
    <cellStyle name="Migliaia 60 4 2 2" xfId="2596" xr:uid="{00000000-0005-0000-0000-0000E0120000}"/>
    <cellStyle name="Migliaia 60 4 2 3" xfId="4127" xr:uid="{00000000-0005-0000-0000-0000E1120000}"/>
    <cellStyle name="Migliaia 60 4 2 4" xfId="6264" xr:uid="{00000000-0005-0000-0000-0000E2120000}"/>
    <cellStyle name="Migliaia 60 4 2 5" xfId="7209" xr:uid="{00000000-0005-0000-0000-0000E3120000}"/>
    <cellStyle name="Migliaia 60 4 2 6" xfId="5287" xr:uid="{00000000-0005-0000-0000-0000E4120000}"/>
    <cellStyle name="Migliaia 60 4 3" xfId="2595" xr:uid="{00000000-0005-0000-0000-0000E5120000}"/>
    <cellStyle name="Migliaia 60 4 4" xfId="4128" xr:uid="{00000000-0005-0000-0000-0000E6120000}"/>
    <cellStyle name="Migliaia 60 4 5" xfId="6263" xr:uid="{00000000-0005-0000-0000-0000E7120000}"/>
    <cellStyle name="Migliaia 60 4 6" xfId="7208" xr:uid="{00000000-0005-0000-0000-0000E8120000}"/>
    <cellStyle name="Migliaia 60 4 7" xfId="5286" xr:uid="{00000000-0005-0000-0000-0000E9120000}"/>
    <cellStyle name="Migliaia 60 5" xfId="1301" xr:uid="{00000000-0005-0000-0000-0000EA120000}"/>
    <cellStyle name="Migliaia 60 5 2" xfId="4129" xr:uid="{00000000-0005-0000-0000-0000EB120000}"/>
    <cellStyle name="Migliaia 60 5 3" xfId="6265" xr:uid="{00000000-0005-0000-0000-0000EC120000}"/>
    <cellStyle name="Migliaia 60 5 4" xfId="7210" xr:uid="{00000000-0005-0000-0000-0000ED120000}"/>
    <cellStyle name="Migliaia 60 5 5" xfId="5288" xr:uid="{00000000-0005-0000-0000-0000EE120000}"/>
    <cellStyle name="Migliaia 60 6" xfId="4130" xr:uid="{00000000-0005-0000-0000-0000EF120000}"/>
    <cellStyle name="Migliaia 60 7" xfId="6257" xr:uid="{00000000-0005-0000-0000-0000F0120000}"/>
    <cellStyle name="Migliaia 60 8" xfId="7202" xr:uid="{00000000-0005-0000-0000-0000F1120000}"/>
    <cellStyle name="Migliaia 60 9" xfId="5280" xr:uid="{00000000-0005-0000-0000-0000F2120000}"/>
    <cellStyle name="Migliaia 61" xfId="202" xr:uid="{00000000-0005-0000-0000-0000F3120000}"/>
    <cellStyle name="Migliaia 61 2" xfId="544" xr:uid="{00000000-0005-0000-0000-0000F4120000}"/>
    <cellStyle name="Migliaia 61 2 2" xfId="2597" xr:uid="{00000000-0005-0000-0000-0000F5120000}"/>
    <cellStyle name="Migliaia 61 2 2 2" xfId="4131" xr:uid="{00000000-0005-0000-0000-0000F6120000}"/>
    <cellStyle name="Migliaia 61 2 2 3" xfId="6268" xr:uid="{00000000-0005-0000-0000-0000F7120000}"/>
    <cellStyle name="Migliaia 61 2 2 4" xfId="7213" xr:uid="{00000000-0005-0000-0000-0000F8120000}"/>
    <cellStyle name="Migliaia 61 2 2 5" xfId="5291" xr:uid="{00000000-0005-0000-0000-0000F9120000}"/>
    <cellStyle name="Migliaia 61 2 3" xfId="4132" xr:uid="{00000000-0005-0000-0000-0000FA120000}"/>
    <cellStyle name="Migliaia 61 2 4" xfId="6267" xr:uid="{00000000-0005-0000-0000-0000FB120000}"/>
    <cellStyle name="Migliaia 61 2 5" xfId="7212" xr:uid="{00000000-0005-0000-0000-0000FC120000}"/>
    <cellStyle name="Migliaia 61 2 6" xfId="5290" xr:uid="{00000000-0005-0000-0000-0000FD120000}"/>
    <cellStyle name="Migliaia 61 3" xfId="1302" xr:uid="{00000000-0005-0000-0000-0000FE120000}"/>
    <cellStyle name="Migliaia 61 3 2" xfId="1303" xr:uid="{00000000-0005-0000-0000-0000FF120000}"/>
    <cellStyle name="Migliaia 61 3 2 2" xfId="4133" xr:uid="{00000000-0005-0000-0000-000000130000}"/>
    <cellStyle name="Migliaia 61 3 2 2 2" xfId="6271" xr:uid="{00000000-0005-0000-0000-000001130000}"/>
    <cellStyle name="Migliaia 61 3 2 2 3" xfId="7216" xr:uid="{00000000-0005-0000-0000-000002130000}"/>
    <cellStyle name="Migliaia 61 3 2 2 4" xfId="5294" xr:uid="{00000000-0005-0000-0000-000003130000}"/>
    <cellStyle name="Migliaia 61 3 2 3" xfId="4134" xr:uid="{00000000-0005-0000-0000-000004130000}"/>
    <cellStyle name="Migliaia 61 3 2 4" xfId="6270" xr:uid="{00000000-0005-0000-0000-000005130000}"/>
    <cellStyle name="Migliaia 61 3 2 5" xfId="7215" xr:uid="{00000000-0005-0000-0000-000006130000}"/>
    <cellStyle name="Migliaia 61 3 2 6" xfId="5293" xr:uid="{00000000-0005-0000-0000-000007130000}"/>
    <cellStyle name="Migliaia 61 3 3" xfId="1304" xr:uid="{00000000-0005-0000-0000-000008130000}"/>
    <cellStyle name="Migliaia 61 3 3 2" xfId="2599" xr:uid="{00000000-0005-0000-0000-000009130000}"/>
    <cellStyle name="Migliaia 61 3 4" xfId="2598" xr:uid="{00000000-0005-0000-0000-00000A130000}"/>
    <cellStyle name="Migliaia 61 3 5" xfId="4135" xr:uid="{00000000-0005-0000-0000-00000B130000}"/>
    <cellStyle name="Migliaia 61 3 6" xfId="6269" xr:uid="{00000000-0005-0000-0000-00000C130000}"/>
    <cellStyle name="Migliaia 61 3 7" xfId="7214" xr:uid="{00000000-0005-0000-0000-00000D130000}"/>
    <cellStyle name="Migliaia 61 3 8" xfId="5292" xr:uid="{00000000-0005-0000-0000-00000E130000}"/>
    <cellStyle name="Migliaia 61 4" xfId="1305" xr:uid="{00000000-0005-0000-0000-00000F130000}"/>
    <cellStyle name="Migliaia 61 4 2" xfId="1306" xr:uid="{00000000-0005-0000-0000-000010130000}"/>
    <cellStyle name="Migliaia 61 4 2 2" xfId="2601" xr:uid="{00000000-0005-0000-0000-000011130000}"/>
    <cellStyle name="Migliaia 61 4 2 3" xfId="4136" xr:uid="{00000000-0005-0000-0000-000012130000}"/>
    <cellStyle name="Migliaia 61 4 2 4" xfId="6273" xr:uid="{00000000-0005-0000-0000-000013130000}"/>
    <cellStyle name="Migliaia 61 4 2 5" xfId="7218" xr:uid="{00000000-0005-0000-0000-000014130000}"/>
    <cellStyle name="Migliaia 61 4 2 6" xfId="5296" xr:uid="{00000000-0005-0000-0000-000015130000}"/>
    <cellStyle name="Migliaia 61 4 3" xfId="2600" xr:uid="{00000000-0005-0000-0000-000016130000}"/>
    <cellStyle name="Migliaia 61 4 4" xfId="4137" xr:uid="{00000000-0005-0000-0000-000017130000}"/>
    <cellStyle name="Migliaia 61 4 5" xfId="6272" xr:uid="{00000000-0005-0000-0000-000018130000}"/>
    <cellStyle name="Migliaia 61 4 6" xfId="7217" xr:uid="{00000000-0005-0000-0000-000019130000}"/>
    <cellStyle name="Migliaia 61 4 7" xfId="5295" xr:uid="{00000000-0005-0000-0000-00001A130000}"/>
    <cellStyle name="Migliaia 61 5" xfId="1307" xr:uid="{00000000-0005-0000-0000-00001B130000}"/>
    <cellStyle name="Migliaia 61 5 2" xfId="4138" xr:uid="{00000000-0005-0000-0000-00001C130000}"/>
    <cellStyle name="Migliaia 61 5 3" xfId="6274" xr:uid="{00000000-0005-0000-0000-00001D130000}"/>
    <cellStyle name="Migliaia 61 5 4" xfId="7219" xr:uid="{00000000-0005-0000-0000-00001E130000}"/>
    <cellStyle name="Migliaia 61 5 5" xfId="5297" xr:uid="{00000000-0005-0000-0000-00001F130000}"/>
    <cellStyle name="Migliaia 61 6" xfId="4139" xr:uid="{00000000-0005-0000-0000-000020130000}"/>
    <cellStyle name="Migliaia 61 7" xfId="6266" xr:uid="{00000000-0005-0000-0000-000021130000}"/>
    <cellStyle name="Migliaia 61 8" xfId="7211" xr:uid="{00000000-0005-0000-0000-000022130000}"/>
    <cellStyle name="Migliaia 61 9" xfId="5289" xr:uid="{00000000-0005-0000-0000-000023130000}"/>
    <cellStyle name="Migliaia 7" xfId="203" xr:uid="{00000000-0005-0000-0000-000024130000}"/>
    <cellStyle name="Migliaia 7 2" xfId="545" xr:uid="{00000000-0005-0000-0000-000025130000}"/>
    <cellStyle name="Migliaia 7 2 2" xfId="2602" xr:uid="{00000000-0005-0000-0000-000026130000}"/>
    <cellStyle name="Migliaia 7 2 2 2" xfId="4140" xr:uid="{00000000-0005-0000-0000-000027130000}"/>
    <cellStyle name="Migliaia 7 2 2 3" xfId="6277" xr:uid="{00000000-0005-0000-0000-000028130000}"/>
    <cellStyle name="Migliaia 7 2 2 4" xfId="7222" xr:uid="{00000000-0005-0000-0000-000029130000}"/>
    <cellStyle name="Migliaia 7 2 2 5" xfId="5300" xr:uid="{00000000-0005-0000-0000-00002A130000}"/>
    <cellStyle name="Migliaia 7 2 3" xfId="4141" xr:uid="{00000000-0005-0000-0000-00002B130000}"/>
    <cellStyle name="Migliaia 7 2 4" xfId="6276" xr:uid="{00000000-0005-0000-0000-00002C130000}"/>
    <cellStyle name="Migliaia 7 2 5" xfId="7221" xr:uid="{00000000-0005-0000-0000-00002D130000}"/>
    <cellStyle name="Migliaia 7 2 6" xfId="5299" xr:uid="{00000000-0005-0000-0000-00002E130000}"/>
    <cellStyle name="Migliaia 7 3" xfId="1308" xr:uid="{00000000-0005-0000-0000-00002F130000}"/>
    <cellStyle name="Migliaia 7 3 2" xfId="1309" xr:uid="{00000000-0005-0000-0000-000030130000}"/>
    <cellStyle name="Migliaia 7 3 2 2" xfId="4142" xr:uid="{00000000-0005-0000-0000-000031130000}"/>
    <cellStyle name="Migliaia 7 3 2 2 2" xfId="6280" xr:uid="{00000000-0005-0000-0000-000032130000}"/>
    <cellStyle name="Migliaia 7 3 2 2 3" xfId="7225" xr:uid="{00000000-0005-0000-0000-000033130000}"/>
    <cellStyle name="Migliaia 7 3 2 2 4" xfId="5303" xr:uid="{00000000-0005-0000-0000-000034130000}"/>
    <cellStyle name="Migliaia 7 3 2 3" xfId="4143" xr:uid="{00000000-0005-0000-0000-000035130000}"/>
    <cellStyle name="Migliaia 7 3 2 4" xfId="6279" xr:uid="{00000000-0005-0000-0000-000036130000}"/>
    <cellStyle name="Migliaia 7 3 2 5" xfId="7224" xr:uid="{00000000-0005-0000-0000-000037130000}"/>
    <cellStyle name="Migliaia 7 3 2 6" xfId="5302" xr:uid="{00000000-0005-0000-0000-000038130000}"/>
    <cellStyle name="Migliaia 7 3 3" xfId="1310" xr:uid="{00000000-0005-0000-0000-000039130000}"/>
    <cellStyle name="Migliaia 7 3 3 2" xfId="2604" xr:uid="{00000000-0005-0000-0000-00003A130000}"/>
    <cellStyle name="Migliaia 7 3 4" xfId="2603" xr:uid="{00000000-0005-0000-0000-00003B130000}"/>
    <cellStyle name="Migliaia 7 3 5" xfId="4144" xr:uid="{00000000-0005-0000-0000-00003C130000}"/>
    <cellStyle name="Migliaia 7 3 6" xfId="6278" xr:uid="{00000000-0005-0000-0000-00003D130000}"/>
    <cellStyle name="Migliaia 7 3 7" xfId="7223" xr:uid="{00000000-0005-0000-0000-00003E130000}"/>
    <cellStyle name="Migliaia 7 3 8" xfId="5301" xr:uid="{00000000-0005-0000-0000-00003F130000}"/>
    <cellStyle name="Migliaia 7 4" xfId="1311" xr:uid="{00000000-0005-0000-0000-000040130000}"/>
    <cellStyle name="Migliaia 7 4 2" xfId="1312" xr:uid="{00000000-0005-0000-0000-000041130000}"/>
    <cellStyle name="Migliaia 7 4 2 2" xfId="2606" xr:uid="{00000000-0005-0000-0000-000042130000}"/>
    <cellStyle name="Migliaia 7 4 2 3" xfId="4145" xr:uid="{00000000-0005-0000-0000-000043130000}"/>
    <cellStyle name="Migliaia 7 4 2 4" xfId="6282" xr:uid="{00000000-0005-0000-0000-000044130000}"/>
    <cellStyle name="Migliaia 7 4 2 5" xfId="7227" xr:uid="{00000000-0005-0000-0000-000045130000}"/>
    <cellStyle name="Migliaia 7 4 2 6" xfId="5305" xr:uid="{00000000-0005-0000-0000-000046130000}"/>
    <cellStyle name="Migliaia 7 4 3" xfId="2605" xr:uid="{00000000-0005-0000-0000-000047130000}"/>
    <cellStyle name="Migliaia 7 4 4" xfId="4146" xr:uid="{00000000-0005-0000-0000-000048130000}"/>
    <cellStyle name="Migliaia 7 4 5" xfId="6281" xr:uid="{00000000-0005-0000-0000-000049130000}"/>
    <cellStyle name="Migliaia 7 4 6" xfId="7226" xr:uid="{00000000-0005-0000-0000-00004A130000}"/>
    <cellStyle name="Migliaia 7 4 7" xfId="5304" xr:uid="{00000000-0005-0000-0000-00004B130000}"/>
    <cellStyle name="Migliaia 7 5" xfId="1313" xr:uid="{00000000-0005-0000-0000-00004C130000}"/>
    <cellStyle name="Migliaia 7 5 2" xfId="4147" xr:uid="{00000000-0005-0000-0000-00004D130000}"/>
    <cellStyle name="Migliaia 7 5 3" xfId="6283" xr:uid="{00000000-0005-0000-0000-00004E130000}"/>
    <cellStyle name="Migliaia 7 5 4" xfId="7228" xr:uid="{00000000-0005-0000-0000-00004F130000}"/>
    <cellStyle name="Migliaia 7 5 5" xfId="5306" xr:uid="{00000000-0005-0000-0000-000050130000}"/>
    <cellStyle name="Migliaia 7 6" xfId="4148" xr:uid="{00000000-0005-0000-0000-000051130000}"/>
    <cellStyle name="Migliaia 7 7" xfId="6275" xr:uid="{00000000-0005-0000-0000-000052130000}"/>
    <cellStyle name="Migliaia 7 8" xfId="7220" xr:uid="{00000000-0005-0000-0000-000053130000}"/>
    <cellStyle name="Migliaia 7 9" xfId="5298" xr:uid="{00000000-0005-0000-0000-000054130000}"/>
    <cellStyle name="Migliaia 8" xfId="204" xr:uid="{00000000-0005-0000-0000-000055130000}"/>
    <cellStyle name="Migliaia 8 2" xfId="546" xr:uid="{00000000-0005-0000-0000-000056130000}"/>
    <cellStyle name="Migliaia 8 2 2" xfId="2607" xr:uid="{00000000-0005-0000-0000-000057130000}"/>
    <cellStyle name="Migliaia 8 2 2 2" xfId="4149" xr:uid="{00000000-0005-0000-0000-000058130000}"/>
    <cellStyle name="Migliaia 8 2 2 3" xfId="6286" xr:uid="{00000000-0005-0000-0000-000059130000}"/>
    <cellStyle name="Migliaia 8 2 2 4" xfId="7231" xr:uid="{00000000-0005-0000-0000-00005A130000}"/>
    <cellStyle name="Migliaia 8 2 2 5" xfId="5309" xr:uid="{00000000-0005-0000-0000-00005B130000}"/>
    <cellStyle name="Migliaia 8 2 3" xfId="4150" xr:uid="{00000000-0005-0000-0000-00005C130000}"/>
    <cellStyle name="Migliaia 8 2 4" xfId="6285" xr:uid="{00000000-0005-0000-0000-00005D130000}"/>
    <cellStyle name="Migliaia 8 2 5" xfId="7230" xr:uid="{00000000-0005-0000-0000-00005E130000}"/>
    <cellStyle name="Migliaia 8 2 6" xfId="5308" xr:uid="{00000000-0005-0000-0000-00005F130000}"/>
    <cellStyle name="Migliaia 8 3" xfId="1314" xr:uid="{00000000-0005-0000-0000-000060130000}"/>
    <cellStyle name="Migliaia 8 3 2" xfId="1315" xr:uid="{00000000-0005-0000-0000-000061130000}"/>
    <cellStyle name="Migliaia 8 3 2 2" xfId="4151" xr:uid="{00000000-0005-0000-0000-000062130000}"/>
    <cellStyle name="Migliaia 8 3 2 2 2" xfId="6289" xr:uid="{00000000-0005-0000-0000-000063130000}"/>
    <cellStyle name="Migliaia 8 3 2 2 3" xfId="7234" xr:uid="{00000000-0005-0000-0000-000064130000}"/>
    <cellStyle name="Migliaia 8 3 2 2 4" xfId="5312" xr:uid="{00000000-0005-0000-0000-000065130000}"/>
    <cellStyle name="Migliaia 8 3 2 3" xfId="4152" xr:uid="{00000000-0005-0000-0000-000066130000}"/>
    <cellStyle name="Migliaia 8 3 2 4" xfId="6288" xr:uid="{00000000-0005-0000-0000-000067130000}"/>
    <cellStyle name="Migliaia 8 3 2 5" xfId="7233" xr:uid="{00000000-0005-0000-0000-000068130000}"/>
    <cellStyle name="Migliaia 8 3 2 6" xfId="5311" xr:uid="{00000000-0005-0000-0000-000069130000}"/>
    <cellStyle name="Migliaia 8 3 3" xfId="1316" xr:uid="{00000000-0005-0000-0000-00006A130000}"/>
    <cellStyle name="Migliaia 8 3 3 2" xfId="2609" xr:uid="{00000000-0005-0000-0000-00006B130000}"/>
    <cellStyle name="Migliaia 8 3 4" xfId="2608" xr:uid="{00000000-0005-0000-0000-00006C130000}"/>
    <cellStyle name="Migliaia 8 3 5" xfId="4153" xr:uid="{00000000-0005-0000-0000-00006D130000}"/>
    <cellStyle name="Migliaia 8 3 6" xfId="6287" xr:uid="{00000000-0005-0000-0000-00006E130000}"/>
    <cellStyle name="Migliaia 8 3 7" xfId="7232" xr:uid="{00000000-0005-0000-0000-00006F130000}"/>
    <cellStyle name="Migliaia 8 3 8" xfId="5310" xr:uid="{00000000-0005-0000-0000-000070130000}"/>
    <cellStyle name="Migliaia 8 4" xfId="1317" xr:uid="{00000000-0005-0000-0000-000071130000}"/>
    <cellStyle name="Migliaia 8 4 2" xfId="1318" xr:uid="{00000000-0005-0000-0000-000072130000}"/>
    <cellStyle name="Migliaia 8 4 2 2" xfId="2611" xr:uid="{00000000-0005-0000-0000-000073130000}"/>
    <cellStyle name="Migliaia 8 4 2 3" xfId="4154" xr:uid="{00000000-0005-0000-0000-000074130000}"/>
    <cellStyle name="Migliaia 8 4 2 4" xfId="6291" xr:uid="{00000000-0005-0000-0000-000075130000}"/>
    <cellStyle name="Migliaia 8 4 2 5" xfId="7236" xr:uid="{00000000-0005-0000-0000-000076130000}"/>
    <cellStyle name="Migliaia 8 4 2 6" xfId="5314" xr:uid="{00000000-0005-0000-0000-000077130000}"/>
    <cellStyle name="Migliaia 8 4 3" xfId="2610" xr:uid="{00000000-0005-0000-0000-000078130000}"/>
    <cellStyle name="Migliaia 8 4 4" xfId="4155" xr:uid="{00000000-0005-0000-0000-000079130000}"/>
    <cellStyle name="Migliaia 8 4 5" xfId="6290" xr:uid="{00000000-0005-0000-0000-00007A130000}"/>
    <cellStyle name="Migliaia 8 4 6" xfId="7235" xr:uid="{00000000-0005-0000-0000-00007B130000}"/>
    <cellStyle name="Migliaia 8 4 7" xfId="5313" xr:uid="{00000000-0005-0000-0000-00007C130000}"/>
    <cellStyle name="Migliaia 8 5" xfId="1319" xr:uid="{00000000-0005-0000-0000-00007D130000}"/>
    <cellStyle name="Migliaia 8 5 2" xfId="4156" xr:uid="{00000000-0005-0000-0000-00007E130000}"/>
    <cellStyle name="Migliaia 8 5 3" xfId="6292" xr:uid="{00000000-0005-0000-0000-00007F130000}"/>
    <cellStyle name="Migliaia 8 5 4" xfId="7237" xr:uid="{00000000-0005-0000-0000-000080130000}"/>
    <cellStyle name="Migliaia 8 5 5" xfId="5315" xr:uid="{00000000-0005-0000-0000-000081130000}"/>
    <cellStyle name="Migliaia 8 6" xfId="4157" xr:uid="{00000000-0005-0000-0000-000082130000}"/>
    <cellStyle name="Migliaia 8 7" xfId="6284" xr:uid="{00000000-0005-0000-0000-000083130000}"/>
    <cellStyle name="Migliaia 8 8" xfId="7229" xr:uid="{00000000-0005-0000-0000-000084130000}"/>
    <cellStyle name="Migliaia 8 9" xfId="5307" xr:uid="{00000000-0005-0000-0000-000085130000}"/>
    <cellStyle name="Migliaia 9" xfId="205" xr:uid="{00000000-0005-0000-0000-000086130000}"/>
    <cellStyle name="Migliaia 9 2" xfId="547" xr:uid="{00000000-0005-0000-0000-000087130000}"/>
    <cellStyle name="Migliaia 9 2 2" xfId="2612" xr:uid="{00000000-0005-0000-0000-000088130000}"/>
    <cellStyle name="Migliaia 9 2 2 2" xfId="4158" xr:uid="{00000000-0005-0000-0000-000089130000}"/>
    <cellStyle name="Migliaia 9 2 2 3" xfId="6295" xr:uid="{00000000-0005-0000-0000-00008A130000}"/>
    <cellStyle name="Migliaia 9 2 2 4" xfId="7240" xr:uid="{00000000-0005-0000-0000-00008B130000}"/>
    <cellStyle name="Migliaia 9 2 2 5" xfId="5318" xr:uid="{00000000-0005-0000-0000-00008C130000}"/>
    <cellStyle name="Migliaia 9 2 3" xfId="4159" xr:uid="{00000000-0005-0000-0000-00008D130000}"/>
    <cellStyle name="Migliaia 9 2 4" xfId="6294" xr:uid="{00000000-0005-0000-0000-00008E130000}"/>
    <cellStyle name="Migliaia 9 2 5" xfId="7239" xr:uid="{00000000-0005-0000-0000-00008F130000}"/>
    <cellStyle name="Migliaia 9 2 6" xfId="5317" xr:uid="{00000000-0005-0000-0000-000090130000}"/>
    <cellStyle name="Migliaia 9 3" xfId="1320" xr:uid="{00000000-0005-0000-0000-000091130000}"/>
    <cellStyle name="Migliaia 9 3 2" xfId="1321" xr:uid="{00000000-0005-0000-0000-000092130000}"/>
    <cellStyle name="Migliaia 9 3 2 2" xfId="4160" xr:uid="{00000000-0005-0000-0000-000093130000}"/>
    <cellStyle name="Migliaia 9 3 2 2 2" xfId="6298" xr:uid="{00000000-0005-0000-0000-000094130000}"/>
    <cellStyle name="Migliaia 9 3 2 2 3" xfId="7243" xr:uid="{00000000-0005-0000-0000-000095130000}"/>
    <cellStyle name="Migliaia 9 3 2 2 4" xfId="5321" xr:uid="{00000000-0005-0000-0000-000096130000}"/>
    <cellStyle name="Migliaia 9 3 2 3" xfId="4161" xr:uid="{00000000-0005-0000-0000-000097130000}"/>
    <cellStyle name="Migliaia 9 3 2 4" xfId="6297" xr:uid="{00000000-0005-0000-0000-000098130000}"/>
    <cellStyle name="Migliaia 9 3 2 5" xfId="7242" xr:uid="{00000000-0005-0000-0000-000099130000}"/>
    <cellStyle name="Migliaia 9 3 2 6" xfId="5320" xr:uid="{00000000-0005-0000-0000-00009A130000}"/>
    <cellStyle name="Migliaia 9 3 3" xfId="1322" xr:uid="{00000000-0005-0000-0000-00009B130000}"/>
    <cellStyle name="Migliaia 9 3 3 2" xfId="2614" xr:uid="{00000000-0005-0000-0000-00009C130000}"/>
    <cellStyle name="Migliaia 9 3 4" xfId="2613" xr:uid="{00000000-0005-0000-0000-00009D130000}"/>
    <cellStyle name="Migliaia 9 3 5" xfId="4162" xr:uid="{00000000-0005-0000-0000-00009E130000}"/>
    <cellStyle name="Migliaia 9 3 6" xfId="6296" xr:uid="{00000000-0005-0000-0000-00009F130000}"/>
    <cellStyle name="Migliaia 9 3 7" xfId="7241" xr:uid="{00000000-0005-0000-0000-0000A0130000}"/>
    <cellStyle name="Migliaia 9 3 8" xfId="5319" xr:uid="{00000000-0005-0000-0000-0000A1130000}"/>
    <cellStyle name="Migliaia 9 4" xfId="1323" xr:uid="{00000000-0005-0000-0000-0000A2130000}"/>
    <cellStyle name="Migliaia 9 4 2" xfId="1324" xr:uid="{00000000-0005-0000-0000-0000A3130000}"/>
    <cellStyle name="Migliaia 9 4 2 2" xfId="2616" xr:uid="{00000000-0005-0000-0000-0000A4130000}"/>
    <cellStyle name="Migliaia 9 4 2 3" xfId="4163" xr:uid="{00000000-0005-0000-0000-0000A5130000}"/>
    <cellStyle name="Migliaia 9 4 2 4" xfId="6300" xr:uid="{00000000-0005-0000-0000-0000A6130000}"/>
    <cellStyle name="Migliaia 9 4 2 5" xfId="7245" xr:uid="{00000000-0005-0000-0000-0000A7130000}"/>
    <cellStyle name="Migliaia 9 4 2 6" xfId="5323" xr:uid="{00000000-0005-0000-0000-0000A8130000}"/>
    <cellStyle name="Migliaia 9 4 3" xfId="2615" xr:uid="{00000000-0005-0000-0000-0000A9130000}"/>
    <cellStyle name="Migliaia 9 4 4" xfId="4164" xr:uid="{00000000-0005-0000-0000-0000AA130000}"/>
    <cellStyle name="Migliaia 9 4 5" xfId="6299" xr:uid="{00000000-0005-0000-0000-0000AB130000}"/>
    <cellStyle name="Migliaia 9 4 6" xfId="7244" xr:uid="{00000000-0005-0000-0000-0000AC130000}"/>
    <cellStyle name="Migliaia 9 4 7" xfId="5322" xr:uid="{00000000-0005-0000-0000-0000AD130000}"/>
    <cellStyle name="Migliaia 9 5" xfId="1325" xr:uid="{00000000-0005-0000-0000-0000AE130000}"/>
    <cellStyle name="Migliaia 9 5 2" xfId="4165" xr:uid="{00000000-0005-0000-0000-0000AF130000}"/>
    <cellStyle name="Migliaia 9 5 3" xfId="6301" xr:uid="{00000000-0005-0000-0000-0000B0130000}"/>
    <cellStyle name="Migliaia 9 5 4" xfId="7246" xr:uid="{00000000-0005-0000-0000-0000B1130000}"/>
    <cellStyle name="Migliaia 9 5 5" xfId="5324" xr:uid="{00000000-0005-0000-0000-0000B2130000}"/>
    <cellStyle name="Migliaia 9 6" xfId="4166" xr:uid="{00000000-0005-0000-0000-0000B3130000}"/>
    <cellStyle name="Migliaia 9 7" xfId="6293" xr:uid="{00000000-0005-0000-0000-0000B4130000}"/>
    <cellStyle name="Migliaia 9 8" xfId="7238" xr:uid="{00000000-0005-0000-0000-0000B5130000}"/>
    <cellStyle name="Migliaia 9 9" xfId="5316" xr:uid="{00000000-0005-0000-0000-0000B6130000}"/>
    <cellStyle name="Neutral 2" xfId="442" xr:uid="{00000000-0005-0000-0000-0000B7130000}"/>
    <cellStyle name="Neutral 2 2" xfId="4167" xr:uid="{00000000-0005-0000-0000-0000B8130000}"/>
    <cellStyle name="Neutral 2 3" xfId="5325" xr:uid="{00000000-0005-0000-0000-0000B9130000}"/>
    <cellStyle name="Neutrale" xfId="206" xr:uid="{00000000-0005-0000-0000-0000BA130000}"/>
    <cellStyle name="Normal" xfId="0" builtinId="0"/>
    <cellStyle name="Normal 10" xfId="1326" xr:uid="{00000000-0005-0000-0000-0000BC130000}"/>
    <cellStyle name="Normal 10 2" xfId="2617" xr:uid="{00000000-0005-0000-0000-0000BD130000}"/>
    <cellStyle name="Normal 11" xfId="2011" xr:uid="{00000000-0005-0000-0000-0000BE130000}"/>
    <cellStyle name="Normal 11 2" xfId="3267" xr:uid="{00000000-0005-0000-0000-0000BF130000}"/>
    <cellStyle name="Normal 11 2 2" xfId="6428" xr:uid="{00000000-0005-0000-0000-0000C0130000}"/>
    <cellStyle name="Normal 11 2 3" xfId="7354" xr:uid="{00000000-0005-0000-0000-0000C1130000}"/>
    <cellStyle name="Normal 11 2 4" xfId="7487" xr:uid="{00000000-0005-0000-0000-0000C2130000}"/>
    <cellStyle name="Normal 11 3" xfId="3269" xr:uid="{00000000-0005-0000-0000-0000C3130000}"/>
    <cellStyle name="Normal 11 3 2" xfId="6429" xr:uid="{00000000-0005-0000-0000-0000C4130000}"/>
    <cellStyle name="Normal 11 3 3" xfId="7344" xr:uid="{00000000-0005-0000-0000-0000C5130000}"/>
    <cellStyle name="Normal 11 3 4" xfId="7477" xr:uid="{00000000-0005-0000-0000-0000C6130000}"/>
    <cellStyle name="Normal 11 3 5" xfId="5486" xr:uid="{00000000-0005-0000-0000-0000C7130000}"/>
    <cellStyle name="Normal 11 3 6" xfId="7720" xr:uid="{00000000-0005-0000-0000-0000C8130000}"/>
    <cellStyle name="Normal 12" xfId="2013" xr:uid="{00000000-0005-0000-0000-0000C9130000}"/>
    <cellStyle name="Normal 12 2" xfId="4168" xr:uid="{00000000-0005-0000-0000-0000CA130000}"/>
    <cellStyle name="Normal 12 2 2" xfId="6303" xr:uid="{00000000-0005-0000-0000-0000CB130000}"/>
    <cellStyle name="Normal 12 2 3" xfId="7248" xr:uid="{00000000-0005-0000-0000-0000CC130000}"/>
    <cellStyle name="Normal 12 2 4" xfId="7381" xr:uid="{00000000-0005-0000-0000-0000CD130000}"/>
    <cellStyle name="Normal 12 3" xfId="4169" xr:uid="{00000000-0005-0000-0000-0000CE130000}"/>
    <cellStyle name="Normal 12 4" xfId="6302" xr:uid="{00000000-0005-0000-0000-0000CF130000}"/>
    <cellStyle name="Normal 12 5" xfId="7247" xr:uid="{00000000-0005-0000-0000-0000D0130000}"/>
    <cellStyle name="Normal 12 6" xfId="7380" xr:uid="{00000000-0005-0000-0000-0000D1130000}"/>
    <cellStyle name="Normal 13" xfId="656" xr:uid="{00000000-0005-0000-0000-0000D2130000}"/>
    <cellStyle name="Normal 13 2" xfId="4489" xr:uid="{00000000-0005-0000-0000-0000D3130000}"/>
    <cellStyle name="Normal 14" xfId="4170" xr:uid="{00000000-0005-0000-0000-0000D4130000}"/>
    <cellStyle name="Normal 15" xfId="4171" xr:uid="{00000000-0005-0000-0000-0000D5130000}"/>
    <cellStyle name="Normal 16" xfId="4172" xr:uid="{00000000-0005-0000-0000-0000D6130000}"/>
    <cellStyle name="Normal 16 2" xfId="4173" xr:uid="{00000000-0005-0000-0000-0000D7130000}"/>
    <cellStyle name="Normal 16 3" xfId="4174" xr:uid="{00000000-0005-0000-0000-0000D8130000}"/>
    <cellStyle name="Normal 16 3 2" xfId="6305" xr:uid="{00000000-0005-0000-0000-0000D9130000}"/>
    <cellStyle name="Normal 16 3 3" xfId="7250" xr:uid="{00000000-0005-0000-0000-0000DA130000}"/>
    <cellStyle name="Normal 16 3 4" xfId="7383" xr:uid="{00000000-0005-0000-0000-0000DB130000}"/>
    <cellStyle name="Normal 16 4" xfId="6304" xr:uid="{00000000-0005-0000-0000-0000DC130000}"/>
    <cellStyle name="Normal 16 5" xfId="7249" xr:uid="{00000000-0005-0000-0000-0000DD130000}"/>
    <cellStyle name="Normal 16 6" xfId="7382" xr:uid="{00000000-0005-0000-0000-0000DE130000}"/>
    <cellStyle name="Normal 17" xfId="4175" xr:uid="{00000000-0005-0000-0000-0000DF130000}"/>
    <cellStyle name="Normal 17 2" xfId="4176" xr:uid="{00000000-0005-0000-0000-0000E0130000}"/>
    <cellStyle name="Normal 18" xfId="4177" xr:uid="{00000000-0005-0000-0000-0000E1130000}"/>
    <cellStyle name="Normal 18 2" xfId="4178" xr:uid="{00000000-0005-0000-0000-0000E2130000}"/>
    <cellStyle name="Normal 19" xfId="4179" xr:uid="{00000000-0005-0000-0000-0000E3130000}"/>
    <cellStyle name="Normal 19 2" xfId="4180" xr:uid="{00000000-0005-0000-0000-0000E4130000}"/>
    <cellStyle name="Normal 19 3" xfId="4181" xr:uid="{00000000-0005-0000-0000-0000E5130000}"/>
    <cellStyle name="Normal 19 3 2" xfId="6307" xr:uid="{00000000-0005-0000-0000-0000E6130000}"/>
    <cellStyle name="Normal 19 3 3" xfId="7252" xr:uid="{00000000-0005-0000-0000-0000E7130000}"/>
    <cellStyle name="Normal 19 3 4" xfId="7385" xr:uid="{00000000-0005-0000-0000-0000E8130000}"/>
    <cellStyle name="Normal 19 4" xfId="6306" xr:uid="{00000000-0005-0000-0000-0000E9130000}"/>
    <cellStyle name="Normal 19 5" xfId="7251" xr:uid="{00000000-0005-0000-0000-0000EA130000}"/>
    <cellStyle name="Normal 19 6" xfId="7384" xr:uid="{00000000-0005-0000-0000-0000EB130000}"/>
    <cellStyle name="Normal 2" xfId="1" xr:uid="{00000000-0005-0000-0000-0000EC130000}"/>
    <cellStyle name="Normal 2 2" xfId="8" xr:uid="{00000000-0005-0000-0000-0000ED130000}"/>
    <cellStyle name="Normal 2 2 2" xfId="1327" xr:uid="{00000000-0005-0000-0000-0000EE130000}"/>
    <cellStyle name="Normal 2 2 2 2" xfId="1328" xr:uid="{00000000-0005-0000-0000-0000EF130000}"/>
    <cellStyle name="Normal 2 2 2 2 2" xfId="4182" xr:uid="{00000000-0005-0000-0000-0000F0130000}"/>
    <cellStyle name="Normal 2 2 2 2 2 2" xfId="4183" xr:uid="{00000000-0005-0000-0000-0000F1130000}"/>
    <cellStyle name="Normal 2 2 2 2 2 2 2" xfId="6311" xr:uid="{00000000-0005-0000-0000-0000F2130000}"/>
    <cellStyle name="Normal 2 2 2 2 2 2 3" xfId="7256" xr:uid="{00000000-0005-0000-0000-0000F3130000}"/>
    <cellStyle name="Normal 2 2 2 2 2 2 4" xfId="7389" xr:uid="{00000000-0005-0000-0000-0000F4130000}"/>
    <cellStyle name="Normal 2 2 2 2 2 3" xfId="6310" xr:uid="{00000000-0005-0000-0000-0000F5130000}"/>
    <cellStyle name="Normal 2 2 2 2 2 4" xfId="7255" xr:uid="{00000000-0005-0000-0000-0000F6130000}"/>
    <cellStyle name="Normal 2 2 2 2 2 5" xfId="7388" xr:uid="{00000000-0005-0000-0000-0000F7130000}"/>
    <cellStyle name="Normal 2 2 2 2 3" xfId="4184" xr:uid="{00000000-0005-0000-0000-0000F8130000}"/>
    <cellStyle name="Normal 2 2 2 2 3 2" xfId="6312" xr:uid="{00000000-0005-0000-0000-0000F9130000}"/>
    <cellStyle name="Normal 2 2 2 2 3 3" xfId="7257" xr:uid="{00000000-0005-0000-0000-0000FA130000}"/>
    <cellStyle name="Normal 2 2 2 2 3 4" xfId="7390" xr:uid="{00000000-0005-0000-0000-0000FB130000}"/>
    <cellStyle name="Normal 2 2 2 2 4" xfId="4185" xr:uid="{00000000-0005-0000-0000-0000FC130000}"/>
    <cellStyle name="Normal 2 2 2 2 5" xfId="6309" xr:uid="{00000000-0005-0000-0000-0000FD130000}"/>
    <cellStyle name="Normal 2 2 2 2 6" xfId="7254" xr:uid="{00000000-0005-0000-0000-0000FE130000}"/>
    <cellStyle name="Normal 2 2 2 2 7" xfId="7387" xr:uid="{00000000-0005-0000-0000-0000FF130000}"/>
    <cellStyle name="Normal 2 2 2 3" xfId="2619" xr:uid="{00000000-0005-0000-0000-000000140000}"/>
    <cellStyle name="Normal 2 2 2 4" xfId="4186" xr:uid="{00000000-0005-0000-0000-000001140000}"/>
    <cellStyle name="Normal 2 2 3" xfId="4187" xr:uid="{00000000-0005-0000-0000-000002140000}"/>
    <cellStyle name="Normal 2 2 3 2" xfId="4188" xr:uid="{00000000-0005-0000-0000-000003140000}"/>
    <cellStyle name="Normal 2 2 3 2 2" xfId="4189" xr:uid="{00000000-0005-0000-0000-000004140000}"/>
    <cellStyle name="Normal 2 2 3 2 2 2" xfId="6315" xr:uid="{00000000-0005-0000-0000-000005140000}"/>
    <cellStyle name="Normal 2 2 3 2 2 3" xfId="7260" xr:uid="{00000000-0005-0000-0000-000006140000}"/>
    <cellStyle name="Normal 2 2 3 2 2 4" xfId="7393" xr:uid="{00000000-0005-0000-0000-000007140000}"/>
    <cellStyle name="Normal 2 2 3 2 3" xfId="6314" xr:uid="{00000000-0005-0000-0000-000008140000}"/>
    <cellStyle name="Normal 2 2 3 2 4" xfId="7259" xr:uid="{00000000-0005-0000-0000-000009140000}"/>
    <cellStyle name="Normal 2 2 3 2 5" xfId="7392" xr:uid="{00000000-0005-0000-0000-00000A140000}"/>
    <cellStyle name="Normal 2 2 3 3" xfId="4190" xr:uid="{00000000-0005-0000-0000-00000B140000}"/>
    <cellStyle name="Normal 2 2 3 3 2" xfId="6316" xr:uid="{00000000-0005-0000-0000-00000C140000}"/>
    <cellStyle name="Normal 2 2 3 3 3" xfId="7261" xr:uid="{00000000-0005-0000-0000-00000D140000}"/>
    <cellStyle name="Normal 2 2 3 3 4" xfId="7394" xr:uid="{00000000-0005-0000-0000-00000E140000}"/>
    <cellStyle name="Normal 2 2 3 4" xfId="6313" xr:uid="{00000000-0005-0000-0000-00000F140000}"/>
    <cellStyle name="Normal 2 2 3 5" xfId="7258" xr:uid="{00000000-0005-0000-0000-000010140000}"/>
    <cellStyle name="Normal 2 2 3 6" xfId="7391" xr:uid="{00000000-0005-0000-0000-000011140000}"/>
    <cellStyle name="Normal 2 2 4" xfId="4191" xr:uid="{00000000-0005-0000-0000-000012140000}"/>
    <cellStyle name="Normal 2 2 4 2" xfId="4192" xr:uid="{00000000-0005-0000-0000-000013140000}"/>
    <cellStyle name="Normal 2 2 4 2 2" xfId="6318" xr:uid="{00000000-0005-0000-0000-000014140000}"/>
    <cellStyle name="Normal 2 2 4 2 3" xfId="7263" xr:uid="{00000000-0005-0000-0000-000015140000}"/>
    <cellStyle name="Normal 2 2 4 2 4" xfId="7396" xr:uid="{00000000-0005-0000-0000-000016140000}"/>
    <cellStyle name="Normal 2 2 4 3" xfId="6317" xr:uid="{00000000-0005-0000-0000-000017140000}"/>
    <cellStyle name="Normal 2 2 4 4" xfId="7262" xr:uid="{00000000-0005-0000-0000-000018140000}"/>
    <cellStyle name="Normal 2 2 4 5" xfId="7395" xr:uid="{00000000-0005-0000-0000-000019140000}"/>
    <cellStyle name="Normal 2 2 5" xfId="4193" xr:uid="{00000000-0005-0000-0000-00001A140000}"/>
    <cellStyle name="Normal 2 2 5 2" xfId="6319" xr:uid="{00000000-0005-0000-0000-00001B140000}"/>
    <cellStyle name="Normal 2 2 5 3" xfId="7264" xr:uid="{00000000-0005-0000-0000-00001C140000}"/>
    <cellStyle name="Normal 2 2 5 4" xfId="7397" xr:uid="{00000000-0005-0000-0000-00001D140000}"/>
    <cellStyle name="Normal 2 2 6" xfId="6308" xr:uid="{00000000-0005-0000-0000-00001E140000}"/>
    <cellStyle name="Normal 2 2 7" xfId="7253" xr:uid="{00000000-0005-0000-0000-00001F140000}"/>
    <cellStyle name="Normal 2 2 8" xfId="7386" xr:uid="{00000000-0005-0000-0000-000020140000}"/>
    <cellStyle name="Normal 2 3" xfId="1329" xr:uid="{00000000-0005-0000-0000-000021140000}"/>
    <cellStyle name="Normal 2 3 2" xfId="4194" xr:uid="{00000000-0005-0000-0000-000022140000}"/>
    <cellStyle name="Normal 2 3 3" xfId="5326" xr:uid="{00000000-0005-0000-0000-000023140000}"/>
    <cellStyle name="Normal 2 4" xfId="1330" xr:uid="{00000000-0005-0000-0000-000024140000}"/>
    <cellStyle name="Normal 2 4 2" xfId="2620" xr:uid="{00000000-0005-0000-0000-000025140000}"/>
    <cellStyle name="Normal 2 4 2 2" xfId="4195" xr:uid="{00000000-0005-0000-0000-000026140000}"/>
    <cellStyle name="Normal 2 4 2 2 2" xfId="6322" xr:uid="{00000000-0005-0000-0000-000027140000}"/>
    <cellStyle name="Normal 2 4 2 2 3" xfId="7267" xr:uid="{00000000-0005-0000-0000-000028140000}"/>
    <cellStyle name="Normal 2 4 2 2 4" xfId="7400" xr:uid="{00000000-0005-0000-0000-000029140000}"/>
    <cellStyle name="Normal 2 4 2 3" xfId="4196" xr:uid="{00000000-0005-0000-0000-00002A140000}"/>
    <cellStyle name="Normal 2 4 2 4" xfId="6321" xr:uid="{00000000-0005-0000-0000-00002B140000}"/>
    <cellStyle name="Normal 2 4 2 5" xfId="7266" xr:uid="{00000000-0005-0000-0000-00002C140000}"/>
    <cellStyle name="Normal 2 4 2 6" xfId="7399" xr:uid="{00000000-0005-0000-0000-00002D140000}"/>
    <cellStyle name="Normal 2 4 3" xfId="4197" xr:uid="{00000000-0005-0000-0000-00002E140000}"/>
    <cellStyle name="Normal 2 4 3 2" xfId="6323" xr:uid="{00000000-0005-0000-0000-00002F140000}"/>
    <cellStyle name="Normal 2 4 3 3" xfId="7268" xr:uid="{00000000-0005-0000-0000-000030140000}"/>
    <cellStyle name="Normal 2 4 3 4" xfId="7401" xr:uid="{00000000-0005-0000-0000-000031140000}"/>
    <cellStyle name="Normal 2 4 4" xfId="4198" xr:uid="{00000000-0005-0000-0000-000032140000}"/>
    <cellStyle name="Normal 2 4 5" xfId="6320" xr:uid="{00000000-0005-0000-0000-000033140000}"/>
    <cellStyle name="Normal 2 4 6" xfId="7265" xr:uid="{00000000-0005-0000-0000-000034140000}"/>
    <cellStyle name="Normal 2 4 7" xfId="7398" xr:uid="{00000000-0005-0000-0000-000035140000}"/>
    <cellStyle name="Normal 2 5" xfId="2618" xr:uid="{00000000-0005-0000-0000-000036140000}"/>
    <cellStyle name="Normal 2_Plants" xfId="4199" xr:uid="{00000000-0005-0000-0000-000037140000}"/>
    <cellStyle name="Normal 20" xfId="4200" xr:uid="{00000000-0005-0000-0000-000038140000}"/>
    <cellStyle name="Normal 21" xfId="4201" xr:uid="{00000000-0005-0000-0000-000039140000}"/>
    <cellStyle name="Normal 22" xfId="4202" xr:uid="{00000000-0005-0000-0000-00003A140000}"/>
    <cellStyle name="Normal 23" xfId="4203" xr:uid="{00000000-0005-0000-0000-00003B140000}"/>
    <cellStyle name="Normal 24" xfId="4204" xr:uid="{00000000-0005-0000-0000-00003C140000}"/>
    <cellStyle name="Normal 25" xfId="4205" xr:uid="{00000000-0005-0000-0000-00003D140000}"/>
    <cellStyle name="Normal 26" xfId="4206" xr:uid="{00000000-0005-0000-0000-00003E140000}"/>
    <cellStyle name="Normal 27" xfId="4207" xr:uid="{00000000-0005-0000-0000-00003F140000}"/>
    <cellStyle name="Normal 28" xfId="4208" xr:uid="{00000000-0005-0000-0000-000040140000}"/>
    <cellStyle name="Normal 29" xfId="4209" xr:uid="{00000000-0005-0000-0000-000041140000}"/>
    <cellStyle name="Normal 29 2" xfId="4210" xr:uid="{00000000-0005-0000-0000-000042140000}"/>
    <cellStyle name="Normal 29 2 2" xfId="6325" xr:uid="{00000000-0005-0000-0000-000043140000}"/>
    <cellStyle name="Normal 29 2 3" xfId="7270" xr:uid="{00000000-0005-0000-0000-000044140000}"/>
    <cellStyle name="Normal 29 2 4" xfId="7403" xr:uid="{00000000-0005-0000-0000-000045140000}"/>
    <cellStyle name="Normal 29 3" xfId="6324" xr:uid="{00000000-0005-0000-0000-000046140000}"/>
    <cellStyle name="Normal 29 4" xfId="7269" xr:uid="{00000000-0005-0000-0000-000047140000}"/>
    <cellStyle name="Normal 29 5" xfId="7402" xr:uid="{00000000-0005-0000-0000-000048140000}"/>
    <cellStyle name="Normal 3" xfId="2" xr:uid="{00000000-0005-0000-0000-000049140000}"/>
    <cellStyle name="Normal 3 10" xfId="4211" xr:uid="{00000000-0005-0000-0000-00004A140000}"/>
    <cellStyle name="Normal 3 11" xfId="4212" xr:uid="{00000000-0005-0000-0000-00004B140000}"/>
    <cellStyle name="Normal 3 12" xfId="4213" xr:uid="{00000000-0005-0000-0000-00004C140000}"/>
    <cellStyle name="Normal 3 13" xfId="4214" xr:uid="{00000000-0005-0000-0000-00004D140000}"/>
    <cellStyle name="Normal 3 14" xfId="4215" xr:uid="{00000000-0005-0000-0000-00004E140000}"/>
    <cellStyle name="Normal 3 15" xfId="4216" xr:uid="{00000000-0005-0000-0000-00004F140000}"/>
    <cellStyle name="Normal 3 16" xfId="4217" xr:uid="{00000000-0005-0000-0000-000050140000}"/>
    <cellStyle name="Normal 3 16 2" xfId="6327" xr:uid="{00000000-0005-0000-0000-000051140000}"/>
    <cellStyle name="Normal 3 16 3" xfId="7272" xr:uid="{00000000-0005-0000-0000-000052140000}"/>
    <cellStyle name="Normal 3 16 4" xfId="7405" xr:uid="{00000000-0005-0000-0000-000053140000}"/>
    <cellStyle name="Normal 3 17" xfId="6326" xr:uid="{00000000-0005-0000-0000-000054140000}"/>
    <cellStyle name="Normal 3 18" xfId="7271" xr:uid="{00000000-0005-0000-0000-000055140000}"/>
    <cellStyle name="Normal 3 19" xfId="7404" xr:uid="{00000000-0005-0000-0000-000056140000}"/>
    <cellStyle name="Normal 3 2" xfId="1332" xr:uid="{00000000-0005-0000-0000-000057140000}"/>
    <cellStyle name="Normal 3 2 2" xfId="1333" xr:uid="{00000000-0005-0000-0000-000058140000}"/>
    <cellStyle name="Normal 3 2 2 2" xfId="2622" xr:uid="{00000000-0005-0000-0000-000059140000}"/>
    <cellStyle name="Normal 3 2 2 3" xfId="4218" xr:uid="{00000000-0005-0000-0000-00005A140000}"/>
    <cellStyle name="Normal 3 2 2 3 2" xfId="4219" xr:uid="{00000000-0005-0000-0000-00005B140000}"/>
    <cellStyle name="Normal 3 2 2 3 2 2" xfId="6331" xr:uid="{00000000-0005-0000-0000-00005C140000}"/>
    <cellStyle name="Normal 3 2 2 3 2 3" xfId="7276" xr:uid="{00000000-0005-0000-0000-00005D140000}"/>
    <cellStyle name="Normal 3 2 2 3 2 4" xfId="7409" xr:uid="{00000000-0005-0000-0000-00005E140000}"/>
    <cellStyle name="Normal 3 2 2 3 3" xfId="6330" xr:uid="{00000000-0005-0000-0000-00005F140000}"/>
    <cellStyle name="Normal 3 2 2 3 4" xfId="7275" xr:uid="{00000000-0005-0000-0000-000060140000}"/>
    <cellStyle name="Normal 3 2 2 3 5" xfId="7408" xr:uid="{00000000-0005-0000-0000-000061140000}"/>
    <cellStyle name="Normal 3 2 2 4" xfId="4220" xr:uid="{00000000-0005-0000-0000-000062140000}"/>
    <cellStyle name="Normal 3 2 2 4 2" xfId="6332" xr:uid="{00000000-0005-0000-0000-000063140000}"/>
    <cellStyle name="Normal 3 2 2 4 3" xfId="7277" xr:uid="{00000000-0005-0000-0000-000064140000}"/>
    <cellStyle name="Normal 3 2 2 4 4" xfId="7410" xr:uid="{00000000-0005-0000-0000-000065140000}"/>
    <cellStyle name="Normal 3 2 2 5" xfId="6329" xr:uid="{00000000-0005-0000-0000-000066140000}"/>
    <cellStyle name="Normal 3 2 2 6" xfId="7274" xr:uid="{00000000-0005-0000-0000-000067140000}"/>
    <cellStyle name="Normal 3 2 2 7" xfId="7407" xr:uid="{00000000-0005-0000-0000-000068140000}"/>
    <cellStyle name="Normal 3 2 3" xfId="2621" xr:uid="{00000000-0005-0000-0000-000069140000}"/>
    <cellStyle name="Normal 3 2 3 2" xfId="4221" xr:uid="{00000000-0005-0000-0000-00006A140000}"/>
    <cellStyle name="Normal 3 2 3 2 2" xfId="4222" xr:uid="{00000000-0005-0000-0000-00006B140000}"/>
    <cellStyle name="Normal 3 2 3 2 2 2" xfId="6335" xr:uid="{00000000-0005-0000-0000-00006C140000}"/>
    <cellStyle name="Normal 3 2 3 2 2 3" xfId="7280" xr:uid="{00000000-0005-0000-0000-00006D140000}"/>
    <cellStyle name="Normal 3 2 3 2 2 4" xfId="7413" xr:uid="{00000000-0005-0000-0000-00006E140000}"/>
    <cellStyle name="Normal 3 2 3 2 3" xfId="6334" xr:uid="{00000000-0005-0000-0000-00006F140000}"/>
    <cellStyle name="Normal 3 2 3 2 4" xfId="7279" xr:uid="{00000000-0005-0000-0000-000070140000}"/>
    <cellStyle name="Normal 3 2 3 2 5" xfId="7412" xr:uid="{00000000-0005-0000-0000-000071140000}"/>
    <cellStyle name="Normal 3 2 3 3" xfId="4223" xr:uid="{00000000-0005-0000-0000-000072140000}"/>
    <cellStyle name="Normal 3 2 3 3 2" xfId="6336" xr:uid="{00000000-0005-0000-0000-000073140000}"/>
    <cellStyle name="Normal 3 2 3 3 3" xfId="7281" xr:uid="{00000000-0005-0000-0000-000074140000}"/>
    <cellStyle name="Normal 3 2 3 3 4" xfId="7414" xr:uid="{00000000-0005-0000-0000-000075140000}"/>
    <cellStyle name="Normal 3 2 3 4" xfId="4224" xr:uid="{00000000-0005-0000-0000-000076140000}"/>
    <cellStyle name="Normal 3 2 3 4 2" xfId="6430" xr:uid="{00000000-0005-0000-0000-000077140000}"/>
    <cellStyle name="Normal 3 2 3 4 3" xfId="7349" xr:uid="{00000000-0005-0000-0000-000078140000}"/>
    <cellStyle name="Normal 3 2 3 4 4" xfId="7482" xr:uid="{00000000-0005-0000-0000-000079140000}"/>
    <cellStyle name="Normal 3 2 3 5" xfId="6333" xr:uid="{00000000-0005-0000-0000-00007A140000}"/>
    <cellStyle name="Normal 3 2 3 6" xfId="7278" xr:uid="{00000000-0005-0000-0000-00007B140000}"/>
    <cellStyle name="Normal 3 2 3 7" xfId="7411" xr:uid="{00000000-0005-0000-0000-00007C140000}"/>
    <cellStyle name="Normal 3 2 4" xfId="4225" xr:uid="{00000000-0005-0000-0000-00007D140000}"/>
    <cellStyle name="Normal 3 2 4 2" xfId="4226" xr:uid="{00000000-0005-0000-0000-00007E140000}"/>
    <cellStyle name="Normal 3 2 4 2 2" xfId="6338" xr:uid="{00000000-0005-0000-0000-00007F140000}"/>
    <cellStyle name="Normal 3 2 4 2 3" xfId="7283" xr:uid="{00000000-0005-0000-0000-000080140000}"/>
    <cellStyle name="Normal 3 2 4 2 4" xfId="7416" xr:uid="{00000000-0005-0000-0000-000081140000}"/>
    <cellStyle name="Normal 3 2 4 3" xfId="6337" xr:uid="{00000000-0005-0000-0000-000082140000}"/>
    <cellStyle name="Normal 3 2 4 4" xfId="7282" xr:uid="{00000000-0005-0000-0000-000083140000}"/>
    <cellStyle name="Normal 3 2 4 5" xfId="7415" xr:uid="{00000000-0005-0000-0000-000084140000}"/>
    <cellStyle name="Normal 3 2 5" xfId="4227" xr:uid="{00000000-0005-0000-0000-000085140000}"/>
    <cellStyle name="Normal 3 2 5 2" xfId="6339" xr:uid="{00000000-0005-0000-0000-000086140000}"/>
    <cellStyle name="Normal 3 2 5 3" xfId="7284" xr:uid="{00000000-0005-0000-0000-000087140000}"/>
    <cellStyle name="Normal 3 2 5 4" xfId="7417" xr:uid="{00000000-0005-0000-0000-000088140000}"/>
    <cellStyle name="Normal 3 2 6" xfId="4228" xr:uid="{00000000-0005-0000-0000-000089140000}"/>
    <cellStyle name="Normal 3 2 6 2" xfId="6431" xr:uid="{00000000-0005-0000-0000-00008A140000}"/>
    <cellStyle name="Normal 3 2 6 3" xfId="7339" xr:uid="{00000000-0005-0000-0000-00008B140000}"/>
    <cellStyle name="Normal 3 2 6 4" xfId="7472" xr:uid="{00000000-0005-0000-0000-00008C140000}"/>
    <cellStyle name="Normal 3 2 7" xfId="6328" xr:uid="{00000000-0005-0000-0000-00008D140000}"/>
    <cellStyle name="Normal 3 2 8" xfId="7273" xr:uid="{00000000-0005-0000-0000-00008E140000}"/>
    <cellStyle name="Normal 3 2 9" xfId="7406" xr:uid="{00000000-0005-0000-0000-00008F140000}"/>
    <cellStyle name="Normal 3 3" xfId="1334" xr:uid="{00000000-0005-0000-0000-000090140000}"/>
    <cellStyle name="Normal 3 3 2" xfId="2623" xr:uid="{00000000-0005-0000-0000-000091140000}"/>
    <cellStyle name="Normal 3 3 2 2" xfId="4229" xr:uid="{00000000-0005-0000-0000-000092140000}"/>
    <cellStyle name="Normal 3 3 2 2 2" xfId="4230" xr:uid="{00000000-0005-0000-0000-000093140000}"/>
    <cellStyle name="Normal 3 3 2 2 2 2" xfId="6343" xr:uid="{00000000-0005-0000-0000-000094140000}"/>
    <cellStyle name="Normal 3 3 2 2 2 3" xfId="7288" xr:uid="{00000000-0005-0000-0000-000095140000}"/>
    <cellStyle name="Normal 3 3 2 2 2 4" xfId="7421" xr:uid="{00000000-0005-0000-0000-000096140000}"/>
    <cellStyle name="Normal 3 3 2 2 3" xfId="6342" xr:uid="{00000000-0005-0000-0000-000097140000}"/>
    <cellStyle name="Normal 3 3 2 2 4" xfId="7287" xr:uid="{00000000-0005-0000-0000-000098140000}"/>
    <cellStyle name="Normal 3 3 2 2 5" xfId="7420" xr:uid="{00000000-0005-0000-0000-000099140000}"/>
    <cellStyle name="Normal 3 3 2 3" xfId="4231" xr:uid="{00000000-0005-0000-0000-00009A140000}"/>
    <cellStyle name="Normal 3 3 2 3 2" xfId="6344" xr:uid="{00000000-0005-0000-0000-00009B140000}"/>
    <cellStyle name="Normal 3 3 2 3 3" xfId="7289" xr:uid="{00000000-0005-0000-0000-00009C140000}"/>
    <cellStyle name="Normal 3 3 2 3 4" xfId="7422" xr:uid="{00000000-0005-0000-0000-00009D140000}"/>
    <cellStyle name="Normal 3 3 2 4" xfId="4232" xr:uid="{00000000-0005-0000-0000-00009E140000}"/>
    <cellStyle name="Normal 3 3 2 4 2" xfId="6432" xr:uid="{00000000-0005-0000-0000-00009F140000}"/>
    <cellStyle name="Normal 3 3 2 4 3" xfId="7350" xr:uid="{00000000-0005-0000-0000-0000A0140000}"/>
    <cellStyle name="Normal 3 3 2 4 4" xfId="7483" xr:uid="{00000000-0005-0000-0000-0000A1140000}"/>
    <cellStyle name="Normal 3 3 2 5" xfId="6341" xr:uid="{00000000-0005-0000-0000-0000A2140000}"/>
    <cellStyle name="Normal 3 3 2 6" xfId="7286" xr:uid="{00000000-0005-0000-0000-0000A3140000}"/>
    <cellStyle name="Normal 3 3 2 7" xfId="7419" xr:uid="{00000000-0005-0000-0000-0000A4140000}"/>
    <cellStyle name="Normal 3 3 3" xfId="4233" xr:uid="{00000000-0005-0000-0000-0000A5140000}"/>
    <cellStyle name="Normal 3 3 3 2" xfId="4234" xr:uid="{00000000-0005-0000-0000-0000A6140000}"/>
    <cellStyle name="Normal 3 3 3 2 2" xfId="6346" xr:uid="{00000000-0005-0000-0000-0000A7140000}"/>
    <cellStyle name="Normal 3 3 3 2 3" xfId="7291" xr:uid="{00000000-0005-0000-0000-0000A8140000}"/>
    <cellStyle name="Normal 3 3 3 2 4" xfId="7424" xr:uid="{00000000-0005-0000-0000-0000A9140000}"/>
    <cellStyle name="Normal 3 3 3 3" xfId="6345" xr:uid="{00000000-0005-0000-0000-0000AA140000}"/>
    <cellStyle name="Normal 3 3 3 4" xfId="7290" xr:uid="{00000000-0005-0000-0000-0000AB140000}"/>
    <cellStyle name="Normal 3 3 3 5" xfId="7423" xr:uid="{00000000-0005-0000-0000-0000AC140000}"/>
    <cellStyle name="Normal 3 3 4" xfId="4235" xr:uid="{00000000-0005-0000-0000-0000AD140000}"/>
    <cellStyle name="Normal 3 3 4 2" xfId="6347" xr:uid="{00000000-0005-0000-0000-0000AE140000}"/>
    <cellStyle name="Normal 3 3 4 3" xfId="7292" xr:uid="{00000000-0005-0000-0000-0000AF140000}"/>
    <cellStyle name="Normal 3 3 4 4" xfId="7425" xr:uid="{00000000-0005-0000-0000-0000B0140000}"/>
    <cellStyle name="Normal 3 3 5" xfId="4236" xr:uid="{00000000-0005-0000-0000-0000B1140000}"/>
    <cellStyle name="Normal 3 3 5 2" xfId="6433" xr:uid="{00000000-0005-0000-0000-0000B2140000}"/>
    <cellStyle name="Normal 3 3 5 3" xfId="7340" xr:uid="{00000000-0005-0000-0000-0000B3140000}"/>
    <cellStyle name="Normal 3 3 5 4" xfId="7473" xr:uid="{00000000-0005-0000-0000-0000B4140000}"/>
    <cellStyle name="Normal 3 3 6" xfId="6340" xr:uid="{00000000-0005-0000-0000-0000B5140000}"/>
    <cellStyle name="Normal 3 3 7" xfId="7285" xr:uid="{00000000-0005-0000-0000-0000B6140000}"/>
    <cellStyle name="Normal 3 3 8" xfId="7418" xr:uid="{00000000-0005-0000-0000-0000B7140000}"/>
    <cellStyle name="Normal 3 4" xfId="1331" xr:uid="{00000000-0005-0000-0000-0000B8140000}"/>
    <cellStyle name="Normal 3 4 2" xfId="4237" xr:uid="{00000000-0005-0000-0000-0000B9140000}"/>
    <cellStyle name="Normal 3 5" xfId="4238" xr:uid="{00000000-0005-0000-0000-0000BA140000}"/>
    <cellStyle name="Normal 3 6" xfId="4239" xr:uid="{00000000-0005-0000-0000-0000BB140000}"/>
    <cellStyle name="Normal 3 6 2" xfId="4240" xr:uid="{00000000-0005-0000-0000-0000BC140000}"/>
    <cellStyle name="Normal 3 6 2 2" xfId="6349" xr:uid="{00000000-0005-0000-0000-0000BD140000}"/>
    <cellStyle name="Normal 3 6 2 3" xfId="7294" xr:uid="{00000000-0005-0000-0000-0000BE140000}"/>
    <cellStyle name="Normal 3 6 2 4" xfId="7427" xr:uid="{00000000-0005-0000-0000-0000BF140000}"/>
    <cellStyle name="Normal 3 6 3" xfId="6348" xr:uid="{00000000-0005-0000-0000-0000C0140000}"/>
    <cellStyle name="Normal 3 6 4" xfId="7293" xr:uid="{00000000-0005-0000-0000-0000C1140000}"/>
    <cellStyle name="Normal 3 6 5" xfId="7426" xr:uid="{00000000-0005-0000-0000-0000C2140000}"/>
    <cellStyle name="Normal 3 7" xfId="4241" xr:uid="{00000000-0005-0000-0000-0000C3140000}"/>
    <cellStyle name="Normal 3 8" xfId="4242" xr:uid="{00000000-0005-0000-0000-0000C4140000}"/>
    <cellStyle name="Normal 3 9" xfId="4243" xr:uid="{00000000-0005-0000-0000-0000C5140000}"/>
    <cellStyle name="Normal 30" xfId="4244" xr:uid="{00000000-0005-0000-0000-0000C6140000}"/>
    <cellStyle name="Normal 30 2" xfId="6434" xr:uid="{00000000-0005-0000-0000-0000C7140000}"/>
    <cellStyle name="Normal 30 3" xfId="7331" xr:uid="{00000000-0005-0000-0000-0000C8140000}"/>
    <cellStyle name="Normal 30 4" xfId="7464" xr:uid="{00000000-0005-0000-0000-0000C9140000}"/>
    <cellStyle name="Normal 31" xfId="4245" xr:uid="{00000000-0005-0000-0000-0000CA140000}"/>
    <cellStyle name="Normal 32" xfId="4246" xr:uid="{00000000-0005-0000-0000-0000CB140000}"/>
    <cellStyle name="Normal 33" xfId="4247" xr:uid="{00000000-0005-0000-0000-0000CC140000}"/>
    <cellStyle name="Normal 34" xfId="4248" xr:uid="{00000000-0005-0000-0000-0000CD140000}"/>
    <cellStyle name="Normal 38" xfId="7721" xr:uid="{00000000-0005-0000-0000-0000CE140000}"/>
    <cellStyle name="Normal 4" xfId="3" xr:uid="{00000000-0005-0000-0000-0000CF140000}"/>
    <cellStyle name="Normal 4 10" xfId="4249" xr:uid="{00000000-0005-0000-0000-0000D0140000}"/>
    <cellStyle name="Normal 4 11" xfId="4250" xr:uid="{00000000-0005-0000-0000-0000D1140000}"/>
    <cellStyle name="Normal 4 12" xfId="4251" xr:uid="{00000000-0005-0000-0000-0000D2140000}"/>
    <cellStyle name="Normal 4 13" xfId="4252" xr:uid="{00000000-0005-0000-0000-0000D3140000}"/>
    <cellStyle name="Normal 4 14" xfId="4253" xr:uid="{00000000-0005-0000-0000-0000D4140000}"/>
    <cellStyle name="Normal 4 15" xfId="4254" xr:uid="{00000000-0005-0000-0000-0000D5140000}"/>
    <cellStyle name="Normal 4 2" xfId="1336" xr:uid="{00000000-0005-0000-0000-0000D6140000}"/>
    <cellStyle name="Normal 4 2 2" xfId="2624" xr:uid="{00000000-0005-0000-0000-0000D7140000}"/>
    <cellStyle name="Normal 4 3" xfId="1335" xr:uid="{00000000-0005-0000-0000-0000D8140000}"/>
    <cellStyle name="Normal 4 4" xfId="4255" xr:uid="{00000000-0005-0000-0000-0000D9140000}"/>
    <cellStyle name="Normal 4 5" xfId="4256" xr:uid="{00000000-0005-0000-0000-0000DA140000}"/>
    <cellStyle name="Normal 4 6" xfId="4257" xr:uid="{00000000-0005-0000-0000-0000DB140000}"/>
    <cellStyle name="Normal 4 7" xfId="4258" xr:uid="{00000000-0005-0000-0000-0000DC140000}"/>
    <cellStyle name="Normal 4 8" xfId="4259" xr:uid="{00000000-0005-0000-0000-0000DD140000}"/>
    <cellStyle name="Normal 4 9" xfId="4260" xr:uid="{00000000-0005-0000-0000-0000DE140000}"/>
    <cellStyle name="Normal 5" xfId="4" xr:uid="{00000000-0005-0000-0000-0000DF140000}"/>
    <cellStyle name="Normal 5 2" xfId="2076" xr:uid="{00000000-0005-0000-0000-0000E0140000}"/>
    <cellStyle name="Normal 5 2 2" xfId="2077" xr:uid="{00000000-0005-0000-0000-0000E1140000}"/>
    <cellStyle name="Normal 5 2 2 2" xfId="2078" xr:uid="{00000000-0005-0000-0000-0000E2140000}"/>
    <cellStyle name="Normal 5 2 2 3" xfId="4261" xr:uid="{00000000-0005-0000-0000-0000E3140000}"/>
    <cellStyle name="Normal 5 2 3" xfId="4262" xr:uid="{00000000-0005-0000-0000-0000E4140000}"/>
    <cellStyle name="Normal 5 2 3 2" xfId="4263" xr:uid="{00000000-0005-0000-0000-0000E5140000}"/>
    <cellStyle name="Normal 5 3" xfId="4264" xr:uid="{00000000-0005-0000-0000-0000E6140000}"/>
    <cellStyle name="Normal 6" xfId="19" xr:uid="{00000000-0005-0000-0000-0000E7140000}"/>
    <cellStyle name="Normal 6 2" xfId="444" xr:uid="{00000000-0005-0000-0000-0000E8140000}"/>
    <cellStyle name="Normal 6 2 2" xfId="2626" xr:uid="{00000000-0005-0000-0000-0000E9140000}"/>
    <cellStyle name="Normal 6 2 3" xfId="4265" xr:uid="{00000000-0005-0000-0000-0000EA140000}"/>
    <cellStyle name="Normal 6 2 3 2" xfId="4266" xr:uid="{00000000-0005-0000-0000-0000EB140000}"/>
    <cellStyle name="Normal 6 2 3 2 2" xfId="6353" xr:uid="{00000000-0005-0000-0000-0000EC140000}"/>
    <cellStyle name="Normal 6 2 3 2 3" xfId="7298" xr:uid="{00000000-0005-0000-0000-0000ED140000}"/>
    <cellStyle name="Normal 6 2 3 2 4" xfId="7431" xr:uid="{00000000-0005-0000-0000-0000EE140000}"/>
    <cellStyle name="Normal 6 2 3 3" xfId="6352" xr:uid="{00000000-0005-0000-0000-0000EF140000}"/>
    <cellStyle name="Normal 6 2 3 4" xfId="7297" xr:uid="{00000000-0005-0000-0000-0000F0140000}"/>
    <cellStyle name="Normal 6 2 3 5" xfId="7430" xr:uid="{00000000-0005-0000-0000-0000F1140000}"/>
    <cellStyle name="Normal 6 2 4" xfId="4267" xr:uid="{00000000-0005-0000-0000-0000F2140000}"/>
    <cellStyle name="Normal 6 2 4 2" xfId="6354" xr:uid="{00000000-0005-0000-0000-0000F3140000}"/>
    <cellStyle name="Normal 6 2 4 3" xfId="7299" xr:uid="{00000000-0005-0000-0000-0000F4140000}"/>
    <cellStyle name="Normal 6 2 4 4" xfId="7432" xr:uid="{00000000-0005-0000-0000-0000F5140000}"/>
    <cellStyle name="Normal 6 2 5" xfId="6351" xr:uid="{00000000-0005-0000-0000-0000F6140000}"/>
    <cellStyle name="Normal 6 2 6" xfId="7296" xr:uid="{00000000-0005-0000-0000-0000F7140000}"/>
    <cellStyle name="Normal 6 2 7" xfId="7429" xr:uid="{00000000-0005-0000-0000-0000F8140000}"/>
    <cellStyle name="Normal 6 3" xfId="2625" xr:uid="{00000000-0005-0000-0000-0000F9140000}"/>
    <cellStyle name="Normal 6 3 2" xfId="4268" xr:uid="{00000000-0005-0000-0000-0000FA140000}"/>
    <cellStyle name="Normal 6 3 2 2" xfId="4269" xr:uid="{00000000-0005-0000-0000-0000FB140000}"/>
    <cellStyle name="Normal 6 3 2 2 2" xfId="4270" xr:uid="{00000000-0005-0000-0000-0000FC140000}"/>
    <cellStyle name="Normal 6 3 2 2 2 2" xfId="6357" xr:uid="{00000000-0005-0000-0000-0000FD140000}"/>
    <cellStyle name="Normal 6 3 2 2 2 3" xfId="7302" xr:uid="{00000000-0005-0000-0000-0000FE140000}"/>
    <cellStyle name="Normal 6 3 2 2 2 4" xfId="7435" xr:uid="{00000000-0005-0000-0000-0000FF140000}"/>
    <cellStyle name="Normal 6 3 2 2 3" xfId="6356" xr:uid="{00000000-0005-0000-0000-000000150000}"/>
    <cellStyle name="Normal 6 3 2 2 4" xfId="7301" xr:uid="{00000000-0005-0000-0000-000001150000}"/>
    <cellStyle name="Normal 6 3 2 2 5" xfId="7434" xr:uid="{00000000-0005-0000-0000-000002150000}"/>
    <cellStyle name="Normal 6 3 2 3" xfId="4271" xr:uid="{00000000-0005-0000-0000-000003150000}"/>
    <cellStyle name="Normal 6 3 2 3 2" xfId="6358" xr:uid="{00000000-0005-0000-0000-000004150000}"/>
    <cellStyle name="Normal 6 3 2 3 3" xfId="7303" xr:uid="{00000000-0005-0000-0000-000005150000}"/>
    <cellStyle name="Normal 6 3 2 3 4" xfId="7436" xr:uid="{00000000-0005-0000-0000-000006150000}"/>
    <cellStyle name="Normal 6 3 2 4" xfId="6355" xr:uid="{00000000-0005-0000-0000-000007150000}"/>
    <cellStyle name="Normal 6 3 2 5" xfId="7300" xr:uid="{00000000-0005-0000-0000-000008150000}"/>
    <cellStyle name="Normal 6 3 2 6" xfId="7433" xr:uid="{00000000-0005-0000-0000-000009150000}"/>
    <cellStyle name="Normal 6 3 3" xfId="4272" xr:uid="{00000000-0005-0000-0000-00000A150000}"/>
    <cellStyle name="Normal 6 3 3 2" xfId="6435" xr:uid="{00000000-0005-0000-0000-00000B150000}"/>
    <cellStyle name="Normal 6 3 3 3" xfId="7351" xr:uid="{00000000-0005-0000-0000-00000C150000}"/>
    <cellStyle name="Normal 6 3 3 4" xfId="7484" xr:uid="{00000000-0005-0000-0000-00000D150000}"/>
    <cellStyle name="Normal 6 3 4" xfId="5327" xr:uid="{00000000-0005-0000-0000-00000E150000}"/>
    <cellStyle name="Normal 6 4" xfId="1337" xr:uid="{00000000-0005-0000-0000-00000F150000}"/>
    <cellStyle name="Normal 6 4 2" xfId="4273" xr:uid="{00000000-0005-0000-0000-000010150000}"/>
    <cellStyle name="Normal 6 4 2 2" xfId="6360" xr:uid="{00000000-0005-0000-0000-000011150000}"/>
    <cellStyle name="Normal 6 4 2 3" xfId="7305" xr:uid="{00000000-0005-0000-0000-000012150000}"/>
    <cellStyle name="Normal 6 4 2 4" xfId="7438" xr:uid="{00000000-0005-0000-0000-000013150000}"/>
    <cellStyle name="Normal 6 4 3" xfId="4274" xr:uid="{00000000-0005-0000-0000-000014150000}"/>
    <cellStyle name="Normal 6 4 3 2" xfId="6436" xr:uid="{00000000-0005-0000-0000-000015150000}"/>
    <cellStyle name="Normal 6 4 3 3" xfId="7341" xr:uid="{00000000-0005-0000-0000-000016150000}"/>
    <cellStyle name="Normal 6 4 3 4" xfId="7474" xr:uid="{00000000-0005-0000-0000-000017150000}"/>
    <cellStyle name="Normal 6 4 4" xfId="6359" xr:uid="{00000000-0005-0000-0000-000018150000}"/>
    <cellStyle name="Normal 6 4 5" xfId="7304" xr:uid="{00000000-0005-0000-0000-000019150000}"/>
    <cellStyle name="Normal 6 4 6" xfId="7437" xr:uid="{00000000-0005-0000-0000-00001A150000}"/>
    <cellStyle name="Normal 6 5" xfId="4275" xr:uid="{00000000-0005-0000-0000-00001B150000}"/>
    <cellStyle name="Normal 6 5 2" xfId="6361" xr:uid="{00000000-0005-0000-0000-00001C150000}"/>
    <cellStyle name="Normal 6 5 3" xfId="7306" xr:uid="{00000000-0005-0000-0000-00001D150000}"/>
    <cellStyle name="Normal 6 5 4" xfId="7439" xr:uid="{00000000-0005-0000-0000-00001E150000}"/>
    <cellStyle name="Normal 6 6" xfId="6350" xr:uid="{00000000-0005-0000-0000-00001F150000}"/>
    <cellStyle name="Normal 6 7" xfId="7295" xr:uid="{00000000-0005-0000-0000-000020150000}"/>
    <cellStyle name="Normal 6 8" xfId="7428" xr:uid="{00000000-0005-0000-0000-000021150000}"/>
    <cellStyle name="Normal 7" xfId="1338" xr:uid="{00000000-0005-0000-0000-000022150000}"/>
    <cellStyle name="Normal 7 2" xfId="1339" xr:uid="{00000000-0005-0000-0000-000023150000}"/>
    <cellStyle name="Normal 7 2 2" xfId="4276" xr:uid="{00000000-0005-0000-0000-000024150000}"/>
    <cellStyle name="Normal 7 2 3" xfId="5328" xr:uid="{00000000-0005-0000-0000-000025150000}"/>
    <cellStyle name="Normal 7 3" xfId="4277" xr:uid="{00000000-0005-0000-0000-000026150000}"/>
    <cellStyle name="Normal 7 3 2" xfId="4278" xr:uid="{00000000-0005-0000-0000-000027150000}"/>
    <cellStyle name="Normal 7 3 2 2" xfId="4279" xr:uid="{00000000-0005-0000-0000-000028150000}"/>
    <cellStyle name="Normal 7 3 2 2 2" xfId="6364" xr:uid="{00000000-0005-0000-0000-000029150000}"/>
    <cellStyle name="Normal 7 3 2 2 3" xfId="7309" xr:uid="{00000000-0005-0000-0000-00002A150000}"/>
    <cellStyle name="Normal 7 3 2 2 4" xfId="7442" xr:uid="{00000000-0005-0000-0000-00002B150000}"/>
    <cellStyle name="Normal 7 3 2 3" xfId="6363" xr:uid="{00000000-0005-0000-0000-00002C150000}"/>
    <cellStyle name="Normal 7 3 2 4" xfId="7308" xr:uid="{00000000-0005-0000-0000-00002D150000}"/>
    <cellStyle name="Normal 7 3 2 5" xfId="7441" xr:uid="{00000000-0005-0000-0000-00002E150000}"/>
    <cellStyle name="Normal 7 3 3" xfId="4280" xr:uid="{00000000-0005-0000-0000-00002F150000}"/>
    <cellStyle name="Normal 7 3 3 2" xfId="6365" xr:uid="{00000000-0005-0000-0000-000030150000}"/>
    <cellStyle name="Normal 7 3 3 3" xfId="7310" xr:uid="{00000000-0005-0000-0000-000031150000}"/>
    <cellStyle name="Normal 7 3 3 4" xfId="7443" xr:uid="{00000000-0005-0000-0000-000032150000}"/>
    <cellStyle name="Normal 7 3 4" xfId="6362" xr:uid="{00000000-0005-0000-0000-000033150000}"/>
    <cellStyle name="Normal 7 3 5" xfId="7307" xr:uid="{00000000-0005-0000-0000-000034150000}"/>
    <cellStyle name="Normal 7 3 6" xfId="7440" xr:uid="{00000000-0005-0000-0000-000035150000}"/>
    <cellStyle name="Normal 8" xfId="1340" xr:uid="{00000000-0005-0000-0000-000036150000}"/>
    <cellStyle name="Normal 8 2" xfId="1341" xr:uid="{00000000-0005-0000-0000-000037150000}"/>
    <cellStyle name="Normal 8 2 2" xfId="2627" xr:uid="{00000000-0005-0000-0000-000038150000}"/>
    <cellStyle name="Normal 8 2 2 2" xfId="4281" xr:uid="{00000000-0005-0000-0000-000039150000}"/>
    <cellStyle name="Normal 8 2 2 2 2" xfId="4282" xr:uid="{00000000-0005-0000-0000-00003A150000}"/>
    <cellStyle name="Normal 8 2 2 2 2 2" xfId="6368" xr:uid="{00000000-0005-0000-0000-00003B150000}"/>
    <cellStyle name="Normal 8 2 2 2 2 3" xfId="7313" xr:uid="{00000000-0005-0000-0000-00003C150000}"/>
    <cellStyle name="Normal 8 2 2 2 2 4" xfId="7446" xr:uid="{00000000-0005-0000-0000-00003D150000}"/>
    <cellStyle name="Normal 8 2 2 2 3" xfId="6367" xr:uid="{00000000-0005-0000-0000-00003E150000}"/>
    <cellStyle name="Normal 8 2 2 2 4" xfId="7312" xr:uid="{00000000-0005-0000-0000-00003F150000}"/>
    <cellStyle name="Normal 8 2 2 2 5" xfId="7445" xr:uid="{00000000-0005-0000-0000-000040150000}"/>
    <cellStyle name="Normal 8 2 2 3" xfId="4283" xr:uid="{00000000-0005-0000-0000-000041150000}"/>
    <cellStyle name="Normal 8 2 2 3 2" xfId="6369" xr:uid="{00000000-0005-0000-0000-000042150000}"/>
    <cellStyle name="Normal 8 2 2 3 3" xfId="7314" xr:uid="{00000000-0005-0000-0000-000043150000}"/>
    <cellStyle name="Normal 8 2 2 3 4" xfId="7447" xr:uid="{00000000-0005-0000-0000-000044150000}"/>
    <cellStyle name="Normal 8 2 2 4" xfId="4284" xr:uid="{00000000-0005-0000-0000-000045150000}"/>
    <cellStyle name="Normal 8 2 2 4 2" xfId="6437" xr:uid="{00000000-0005-0000-0000-000046150000}"/>
    <cellStyle name="Normal 8 2 2 4 3" xfId="7352" xr:uid="{00000000-0005-0000-0000-000047150000}"/>
    <cellStyle name="Normal 8 2 2 4 4" xfId="7485" xr:uid="{00000000-0005-0000-0000-000048150000}"/>
    <cellStyle name="Normal 8 2 2 5" xfId="6366" xr:uid="{00000000-0005-0000-0000-000049150000}"/>
    <cellStyle name="Normal 8 2 2 6" xfId="7311" xr:uid="{00000000-0005-0000-0000-00004A150000}"/>
    <cellStyle name="Normal 8 2 2 7" xfId="7444" xr:uid="{00000000-0005-0000-0000-00004B150000}"/>
    <cellStyle name="Normal 8 2 3" xfId="4285" xr:uid="{00000000-0005-0000-0000-00004C150000}"/>
    <cellStyle name="Normal 8 2 3 2" xfId="6438" xr:uid="{00000000-0005-0000-0000-00004D150000}"/>
    <cellStyle name="Normal 8 2 3 3" xfId="7342" xr:uid="{00000000-0005-0000-0000-00004E150000}"/>
    <cellStyle name="Normal 8 2 3 4" xfId="7475" xr:uid="{00000000-0005-0000-0000-00004F150000}"/>
    <cellStyle name="Normal 8 2 4" xfId="5330" xr:uid="{00000000-0005-0000-0000-000050150000}"/>
    <cellStyle name="Normal 8 3" xfId="4286" xr:uid="{00000000-0005-0000-0000-000051150000}"/>
    <cellStyle name="Normal 8 4" xfId="5329" xr:uid="{00000000-0005-0000-0000-000052150000}"/>
    <cellStyle name="Normal 9" xfId="1342" xr:uid="{00000000-0005-0000-0000-000053150000}"/>
    <cellStyle name="Normal 9 2" xfId="4287" xr:uid="{00000000-0005-0000-0000-000054150000}"/>
    <cellStyle name="Normal 9 2 2" xfId="4288" xr:uid="{00000000-0005-0000-0000-000055150000}"/>
    <cellStyle name="Normal 9 2 2 2" xfId="6371" xr:uid="{00000000-0005-0000-0000-000056150000}"/>
    <cellStyle name="Normal 9 2 2 3" xfId="7316" xr:uid="{00000000-0005-0000-0000-000057150000}"/>
    <cellStyle name="Normal 9 2 2 4" xfId="7449" xr:uid="{00000000-0005-0000-0000-000058150000}"/>
    <cellStyle name="Normal 9 2 3" xfId="6370" xr:uid="{00000000-0005-0000-0000-000059150000}"/>
    <cellStyle name="Normal 9 2 4" xfId="7315" xr:uid="{00000000-0005-0000-0000-00005A150000}"/>
    <cellStyle name="Normal 9 2 5" xfId="7448" xr:uid="{00000000-0005-0000-0000-00005B150000}"/>
    <cellStyle name="Normal 9 3" xfId="4289" xr:uid="{00000000-0005-0000-0000-00005C150000}"/>
    <cellStyle name="Normal 9 4" xfId="5331" xr:uid="{00000000-0005-0000-0000-00005D150000}"/>
    <cellStyle name="Normal GHG Numbers (0.00)" xfId="1343" xr:uid="{00000000-0005-0000-0000-00005E150000}"/>
    <cellStyle name="Normal GHG Numbers (0.00) 2" xfId="4290" xr:uid="{00000000-0005-0000-0000-00005F150000}"/>
    <cellStyle name="Normal GHG Numbers (0.00) 2 2" xfId="5333" xr:uid="{00000000-0005-0000-0000-000060150000}"/>
    <cellStyle name="Normal GHG Numbers (0.00) 2 3" xfId="7514" xr:uid="{00000000-0005-0000-0000-000061150000}"/>
    <cellStyle name="Normal GHG Numbers (0.00) 2 4" xfId="7586" xr:uid="{00000000-0005-0000-0000-000062150000}"/>
    <cellStyle name="Normal GHG Numbers (0.00) 2 5" xfId="7652" xr:uid="{00000000-0005-0000-0000-000063150000}"/>
    <cellStyle name="Normal GHG Numbers (0.00) 3" xfId="4291" xr:uid="{00000000-0005-0000-0000-000064150000}"/>
    <cellStyle name="Normal GHG Numbers (0.00) 3 2" xfId="5334" xr:uid="{00000000-0005-0000-0000-000065150000}"/>
    <cellStyle name="Normal GHG Numbers (0.00) 3 3" xfId="7515" xr:uid="{00000000-0005-0000-0000-000066150000}"/>
    <cellStyle name="Normal GHG Numbers (0.00) 3 4" xfId="7587" xr:uid="{00000000-0005-0000-0000-000067150000}"/>
    <cellStyle name="Normal GHG Numbers (0.00) 3 5" xfId="7653" xr:uid="{00000000-0005-0000-0000-000068150000}"/>
    <cellStyle name="Normal GHG Numbers (0.00) 4" xfId="5332" xr:uid="{00000000-0005-0000-0000-000069150000}"/>
    <cellStyle name="Normal GHG Numbers (0.00) 5" xfId="7494" xr:uid="{00000000-0005-0000-0000-00006A150000}"/>
    <cellStyle name="Normal GHG Numbers (0.00) 6" xfId="7566" xr:uid="{00000000-0005-0000-0000-00006B150000}"/>
    <cellStyle name="Normal GHG Numbers (0.00) 7" xfId="7651" xr:uid="{00000000-0005-0000-0000-00006C150000}"/>
    <cellStyle name="Normal GHG Textfiels Bold" xfId="1344" xr:uid="{00000000-0005-0000-0000-00006D150000}"/>
    <cellStyle name="Normal GHG-Shade" xfId="1345" xr:uid="{00000000-0005-0000-0000-00006E150000}"/>
    <cellStyle name="Normal GHG-Shade 2" xfId="2628" xr:uid="{00000000-0005-0000-0000-00006F150000}"/>
    <cellStyle name="Normale 10" xfId="207" xr:uid="{00000000-0005-0000-0000-000070150000}"/>
    <cellStyle name="Normale 10 2" xfId="208" xr:uid="{00000000-0005-0000-0000-000071150000}"/>
    <cellStyle name="Normale 10 2 2" xfId="2630" xr:uid="{00000000-0005-0000-0000-000072150000}"/>
    <cellStyle name="Normale 10 3" xfId="209" xr:uid="{00000000-0005-0000-0000-000073150000}"/>
    <cellStyle name="Normale 10 3 2" xfId="2631" xr:uid="{00000000-0005-0000-0000-000074150000}"/>
    <cellStyle name="Normale 10 4" xfId="2629" xr:uid="{00000000-0005-0000-0000-000075150000}"/>
    <cellStyle name="Normale 10_EDEN industria 2008 rev" xfId="210" xr:uid="{00000000-0005-0000-0000-000076150000}"/>
    <cellStyle name="Normale 11" xfId="211" xr:uid="{00000000-0005-0000-0000-000077150000}"/>
    <cellStyle name="Normale 11 2" xfId="212" xr:uid="{00000000-0005-0000-0000-000078150000}"/>
    <cellStyle name="Normale 11 2 2" xfId="2633" xr:uid="{00000000-0005-0000-0000-000079150000}"/>
    <cellStyle name="Normale 11 3" xfId="213" xr:uid="{00000000-0005-0000-0000-00007A150000}"/>
    <cellStyle name="Normale 11 3 2" xfId="2634" xr:uid="{00000000-0005-0000-0000-00007B150000}"/>
    <cellStyle name="Normale 11 4" xfId="2632" xr:uid="{00000000-0005-0000-0000-00007C150000}"/>
    <cellStyle name="Normale 11_EDEN industria 2008 rev" xfId="214" xr:uid="{00000000-0005-0000-0000-00007D150000}"/>
    <cellStyle name="Normale 12" xfId="215" xr:uid="{00000000-0005-0000-0000-00007E150000}"/>
    <cellStyle name="Normale 12 2" xfId="216" xr:uid="{00000000-0005-0000-0000-00007F150000}"/>
    <cellStyle name="Normale 12 2 2" xfId="2636" xr:uid="{00000000-0005-0000-0000-000080150000}"/>
    <cellStyle name="Normale 12 3" xfId="217" xr:uid="{00000000-0005-0000-0000-000081150000}"/>
    <cellStyle name="Normale 12 3 2" xfId="2637" xr:uid="{00000000-0005-0000-0000-000082150000}"/>
    <cellStyle name="Normale 12 4" xfId="2635" xr:uid="{00000000-0005-0000-0000-000083150000}"/>
    <cellStyle name="Normale 12_EDEN industria 2008 rev" xfId="218" xr:uid="{00000000-0005-0000-0000-000084150000}"/>
    <cellStyle name="Normale 13" xfId="219" xr:uid="{00000000-0005-0000-0000-000085150000}"/>
    <cellStyle name="Normale 13 2" xfId="220" xr:uid="{00000000-0005-0000-0000-000086150000}"/>
    <cellStyle name="Normale 13 2 2" xfId="2639" xr:uid="{00000000-0005-0000-0000-000087150000}"/>
    <cellStyle name="Normale 13 3" xfId="221" xr:uid="{00000000-0005-0000-0000-000088150000}"/>
    <cellStyle name="Normale 13 3 2" xfId="2640" xr:uid="{00000000-0005-0000-0000-000089150000}"/>
    <cellStyle name="Normale 13 4" xfId="2638" xr:uid="{00000000-0005-0000-0000-00008A150000}"/>
    <cellStyle name="Normale 13_EDEN industria 2008 rev" xfId="222" xr:uid="{00000000-0005-0000-0000-00008B150000}"/>
    <cellStyle name="Normale 14" xfId="223" xr:uid="{00000000-0005-0000-0000-00008C150000}"/>
    <cellStyle name="Normale 14 2" xfId="224" xr:uid="{00000000-0005-0000-0000-00008D150000}"/>
    <cellStyle name="Normale 14 2 2" xfId="2642" xr:uid="{00000000-0005-0000-0000-00008E150000}"/>
    <cellStyle name="Normale 14 3" xfId="225" xr:uid="{00000000-0005-0000-0000-00008F150000}"/>
    <cellStyle name="Normale 14 3 2" xfId="2643" xr:uid="{00000000-0005-0000-0000-000090150000}"/>
    <cellStyle name="Normale 14 4" xfId="2641" xr:uid="{00000000-0005-0000-0000-000091150000}"/>
    <cellStyle name="Normale 14_EDEN industria 2008 rev" xfId="226" xr:uid="{00000000-0005-0000-0000-000092150000}"/>
    <cellStyle name="Normale 15" xfId="227" xr:uid="{00000000-0005-0000-0000-000093150000}"/>
    <cellStyle name="Normale 15 2" xfId="228" xr:uid="{00000000-0005-0000-0000-000094150000}"/>
    <cellStyle name="Normale 15 2 2" xfId="2645" xr:uid="{00000000-0005-0000-0000-000095150000}"/>
    <cellStyle name="Normale 15 3" xfId="229" xr:uid="{00000000-0005-0000-0000-000096150000}"/>
    <cellStyle name="Normale 15 3 2" xfId="2646" xr:uid="{00000000-0005-0000-0000-000097150000}"/>
    <cellStyle name="Normale 15 4" xfId="2644" xr:uid="{00000000-0005-0000-0000-000098150000}"/>
    <cellStyle name="Normale 15_EDEN industria 2008 rev" xfId="230" xr:uid="{00000000-0005-0000-0000-000099150000}"/>
    <cellStyle name="Normale 16" xfId="231" xr:uid="{00000000-0005-0000-0000-00009A150000}"/>
    <cellStyle name="Normale 16 2" xfId="2647" xr:uid="{00000000-0005-0000-0000-00009B150000}"/>
    <cellStyle name="Normale 17" xfId="232" xr:uid="{00000000-0005-0000-0000-00009C150000}"/>
    <cellStyle name="Normale 17 2" xfId="2648" xr:uid="{00000000-0005-0000-0000-00009D150000}"/>
    <cellStyle name="Normale 18" xfId="233" xr:uid="{00000000-0005-0000-0000-00009E150000}"/>
    <cellStyle name="Normale 18 2" xfId="4292" xr:uid="{00000000-0005-0000-0000-00009F150000}"/>
    <cellStyle name="Normale 19" xfId="234" xr:uid="{00000000-0005-0000-0000-0000A0150000}"/>
    <cellStyle name="Normale 19 2" xfId="4293" xr:uid="{00000000-0005-0000-0000-0000A1150000}"/>
    <cellStyle name="Normale 2" xfId="235" xr:uid="{00000000-0005-0000-0000-0000A2150000}"/>
    <cellStyle name="Normale 2 2" xfId="236" xr:uid="{00000000-0005-0000-0000-0000A3150000}"/>
    <cellStyle name="Normale 2 2 2" xfId="2650" xr:uid="{00000000-0005-0000-0000-0000A4150000}"/>
    <cellStyle name="Normale 2 3" xfId="2649" xr:uid="{00000000-0005-0000-0000-0000A5150000}"/>
    <cellStyle name="Normale 2_EDEN industria 2008 rev" xfId="237" xr:uid="{00000000-0005-0000-0000-0000A6150000}"/>
    <cellStyle name="Normale 20" xfId="238" xr:uid="{00000000-0005-0000-0000-0000A7150000}"/>
    <cellStyle name="Normale 20 2" xfId="2651" xr:uid="{00000000-0005-0000-0000-0000A8150000}"/>
    <cellStyle name="Normale 21" xfId="239" xr:uid="{00000000-0005-0000-0000-0000A9150000}"/>
    <cellStyle name="Normale 21 2" xfId="2652" xr:uid="{00000000-0005-0000-0000-0000AA150000}"/>
    <cellStyle name="Normale 22" xfId="240" xr:uid="{00000000-0005-0000-0000-0000AB150000}"/>
    <cellStyle name="Normale 22 2" xfId="2653" xr:uid="{00000000-0005-0000-0000-0000AC150000}"/>
    <cellStyle name="Normale 23" xfId="241" xr:uid="{00000000-0005-0000-0000-0000AD150000}"/>
    <cellStyle name="Normale 23 2" xfId="2654" xr:uid="{00000000-0005-0000-0000-0000AE150000}"/>
    <cellStyle name="Normale 24" xfId="242" xr:uid="{00000000-0005-0000-0000-0000AF150000}"/>
    <cellStyle name="Normale 24 2" xfId="2655" xr:uid="{00000000-0005-0000-0000-0000B0150000}"/>
    <cellStyle name="Normale 25" xfId="243" xr:uid="{00000000-0005-0000-0000-0000B1150000}"/>
    <cellStyle name="Normale 25 2" xfId="2656" xr:uid="{00000000-0005-0000-0000-0000B2150000}"/>
    <cellStyle name="Normale 26" xfId="244" xr:uid="{00000000-0005-0000-0000-0000B3150000}"/>
    <cellStyle name="Normale 26 2" xfId="2657" xr:uid="{00000000-0005-0000-0000-0000B4150000}"/>
    <cellStyle name="Normale 27" xfId="245" xr:uid="{00000000-0005-0000-0000-0000B5150000}"/>
    <cellStyle name="Normale 27 2" xfId="2658" xr:uid="{00000000-0005-0000-0000-0000B6150000}"/>
    <cellStyle name="Normale 28" xfId="246" xr:uid="{00000000-0005-0000-0000-0000B7150000}"/>
    <cellStyle name="Normale 28 2" xfId="2659" xr:uid="{00000000-0005-0000-0000-0000B8150000}"/>
    <cellStyle name="Normale 29" xfId="247" xr:uid="{00000000-0005-0000-0000-0000B9150000}"/>
    <cellStyle name="Normale 29 2" xfId="2660" xr:uid="{00000000-0005-0000-0000-0000BA150000}"/>
    <cellStyle name="Normale 3" xfId="248" xr:uid="{00000000-0005-0000-0000-0000BB150000}"/>
    <cellStyle name="Normale 3 2" xfId="249" xr:uid="{00000000-0005-0000-0000-0000BC150000}"/>
    <cellStyle name="Normale 3 2 2" xfId="2662" xr:uid="{00000000-0005-0000-0000-0000BD150000}"/>
    <cellStyle name="Normale 3 3" xfId="250" xr:uid="{00000000-0005-0000-0000-0000BE150000}"/>
    <cellStyle name="Normale 3 3 2" xfId="2663" xr:uid="{00000000-0005-0000-0000-0000BF150000}"/>
    <cellStyle name="Normale 3 4" xfId="2661" xr:uid="{00000000-0005-0000-0000-0000C0150000}"/>
    <cellStyle name="Normale 3_EDEN industria 2008 rev" xfId="251" xr:uid="{00000000-0005-0000-0000-0000C1150000}"/>
    <cellStyle name="Normale 30" xfId="252" xr:uid="{00000000-0005-0000-0000-0000C2150000}"/>
    <cellStyle name="Normale 30 2" xfId="2664" xr:uid="{00000000-0005-0000-0000-0000C3150000}"/>
    <cellStyle name="Normale 31" xfId="253" xr:uid="{00000000-0005-0000-0000-0000C4150000}"/>
    <cellStyle name="Normale 31 2" xfId="2665" xr:uid="{00000000-0005-0000-0000-0000C5150000}"/>
    <cellStyle name="Normale 32" xfId="254" xr:uid="{00000000-0005-0000-0000-0000C6150000}"/>
    <cellStyle name="Normale 32 2" xfId="2666" xr:uid="{00000000-0005-0000-0000-0000C7150000}"/>
    <cellStyle name="Normale 33" xfId="255" xr:uid="{00000000-0005-0000-0000-0000C8150000}"/>
    <cellStyle name="Normale 33 2" xfId="2667" xr:uid="{00000000-0005-0000-0000-0000C9150000}"/>
    <cellStyle name="Normale 34" xfId="256" xr:uid="{00000000-0005-0000-0000-0000CA150000}"/>
    <cellStyle name="Normale 34 2" xfId="2668" xr:uid="{00000000-0005-0000-0000-0000CB150000}"/>
    <cellStyle name="Normale 35" xfId="257" xr:uid="{00000000-0005-0000-0000-0000CC150000}"/>
    <cellStyle name="Normale 35 2" xfId="2669" xr:uid="{00000000-0005-0000-0000-0000CD150000}"/>
    <cellStyle name="Normale 36" xfId="258" xr:uid="{00000000-0005-0000-0000-0000CE150000}"/>
    <cellStyle name="Normale 36 2" xfId="2670" xr:uid="{00000000-0005-0000-0000-0000CF150000}"/>
    <cellStyle name="Normale 37" xfId="259" xr:uid="{00000000-0005-0000-0000-0000D0150000}"/>
    <cellStyle name="Normale 37 2" xfId="2671" xr:uid="{00000000-0005-0000-0000-0000D1150000}"/>
    <cellStyle name="Normale 38" xfId="260" xr:uid="{00000000-0005-0000-0000-0000D2150000}"/>
    <cellStyle name="Normale 38 2" xfId="2672" xr:uid="{00000000-0005-0000-0000-0000D3150000}"/>
    <cellStyle name="Normale 39" xfId="261" xr:uid="{00000000-0005-0000-0000-0000D4150000}"/>
    <cellStyle name="Normale 39 2" xfId="2673" xr:uid="{00000000-0005-0000-0000-0000D5150000}"/>
    <cellStyle name="Normale 4" xfId="262" xr:uid="{00000000-0005-0000-0000-0000D6150000}"/>
    <cellStyle name="Normale 4 2" xfId="263" xr:uid="{00000000-0005-0000-0000-0000D7150000}"/>
    <cellStyle name="Normale 4 2 2" xfId="2675" xr:uid="{00000000-0005-0000-0000-0000D8150000}"/>
    <cellStyle name="Normale 4 3" xfId="264" xr:uid="{00000000-0005-0000-0000-0000D9150000}"/>
    <cellStyle name="Normale 4 3 2" xfId="2676" xr:uid="{00000000-0005-0000-0000-0000DA150000}"/>
    <cellStyle name="Normale 4 4" xfId="2674" xr:uid="{00000000-0005-0000-0000-0000DB150000}"/>
    <cellStyle name="Normale 4_EDEN industria 2008 rev" xfId="265" xr:uid="{00000000-0005-0000-0000-0000DC150000}"/>
    <cellStyle name="Normale 40" xfId="266" xr:uid="{00000000-0005-0000-0000-0000DD150000}"/>
    <cellStyle name="Normale 40 2" xfId="2677" xr:uid="{00000000-0005-0000-0000-0000DE150000}"/>
    <cellStyle name="Normale 41" xfId="267" xr:uid="{00000000-0005-0000-0000-0000DF150000}"/>
    <cellStyle name="Normale 41 2" xfId="2678" xr:uid="{00000000-0005-0000-0000-0000E0150000}"/>
    <cellStyle name="Normale 42" xfId="268" xr:uid="{00000000-0005-0000-0000-0000E1150000}"/>
    <cellStyle name="Normale 42 2" xfId="2679" xr:uid="{00000000-0005-0000-0000-0000E2150000}"/>
    <cellStyle name="Normale 43" xfId="269" xr:uid="{00000000-0005-0000-0000-0000E3150000}"/>
    <cellStyle name="Normale 43 2" xfId="2680" xr:uid="{00000000-0005-0000-0000-0000E4150000}"/>
    <cellStyle name="Normale 44" xfId="270" xr:uid="{00000000-0005-0000-0000-0000E5150000}"/>
    <cellStyle name="Normale 44 2" xfId="2681" xr:uid="{00000000-0005-0000-0000-0000E6150000}"/>
    <cellStyle name="Normale 45" xfId="271" xr:uid="{00000000-0005-0000-0000-0000E7150000}"/>
    <cellStyle name="Normale 45 2" xfId="2682" xr:uid="{00000000-0005-0000-0000-0000E8150000}"/>
    <cellStyle name="Normale 46" xfId="272" xr:uid="{00000000-0005-0000-0000-0000E9150000}"/>
    <cellStyle name="Normale 46 2" xfId="2683" xr:uid="{00000000-0005-0000-0000-0000EA150000}"/>
    <cellStyle name="Normale 47" xfId="273" xr:uid="{00000000-0005-0000-0000-0000EB150000}"/>
    <cellStyle name="Normale 47 2" xfId="2684" xr:uid="{00000000-0005-0000-0000-0000EC150000}"/>
    <cellStyle name="Normale 48" xfId="274" xr:uid="{00000000-0005-0000-0000-0000ED150000}"/>
    <cellStyle name="Normale 48 2" xfId="2685" xr:uid="{00000000-0005-0000-0000-0000EE150000}"/>
    <cellStyle name="Normale 49" xfId="275" xr:uid="{00000000-0005-0000-0000-0000EF150000}"/>
    <cellStyle name="Normale 49 2" xfId="2686" xr:uid="{00000000-0005-0000-0000-0000F0150000}"/>
    <cellStyle name="Normale 5" xfId="276" xr:uid="{00000000-0005-0000-0000-0000F1150000}"/>
    <cellStyle name="Normale 5 2" xfId="277" xr:uid="{00000000-0005-0000-0000-0000F2150000}"/>
    <cellStyle name="Normale 5 2 2" xfId="2688" xr:uid="{00000000-0005-0000-0000-0000F3150000}"/>
    <cellStyle name="Normale 5 3" xfId="278" xr:uid="{00000000-0005-0000-0000-0000F4150000}"/>
    <cellStyle name="Normale 5 3 2" xfId="2689" xr:uid="{00000000-0005-0000-0000-0000F5150000}"/>
    <cellStyle name="Normale 5 4" xfId="2687" xr:uid="{00000000-0005-0000-0000-0000F6150000}"/>
    <cellStyle name="Normale 5_EDEN industria 2008 rev" xfId="279" xr:uid="{00000000-0005-0000-0000-0000F7150000}"/>
    <cellStyle name="Normale 50" xfId="280" xr:uid="{00000000-0005-0000-0000-0000F8150000}"/>
    <cellStyle name="Normale 50 2" xfId="2690" xr:uid="{00000000-0005-0000-0000-0000F9150000}"/>
    <cellStyle name="Normale 51" xfId="281" xr:uid="{00000000-0005-0000-0000-0000FA150000}"/>
    <cellStyle name="Normale 51 2" xfId="2691" xr:uid="{00000000-0005-0000-0000-0000FB150000}"/>
    <cellStyle name="Normale 52" xfId="282" xr:uid="{00000000-0005-0000-0000-0000FC150000}"/>
    <cellStyle name="Normale 52 2" xfId="2692" xr:uid="{00000000-0005-0000-0000-0000FD150000}"/>
    <cellStyle name="Normale 53" xfId="283" xr:uid="{00000000-0005-0000-0000-0000FE150000}"/>
    <cellStyle name="Normale 53 2" xfId="2693" xr:uid="{00000000-0005-0000-0000-0000FF150000}"/>
    <cellStyle name="Normale 54" xfId="284" xr:uid="{00000000-0005-0000-0000-000000160000}"/>
    <cellStyle name="Normale 54 2" xfId="2694" xr:uid="{00000000-0005-0000-0000-000001160000}"/>
    <cellStyle name="Normale 55" xfId="285" xr:uid="{00000000-0005-0000-0000-000002160000}"/>
    <cellStyle name="Normale 55 2" xfId="2695" xr:uid="{00000000-0005-0000-0000-000003160000}"/>
    <cellStyle name="Normale 56" xfId="286" xr:uid="{00000000-0005-0000-0000-000004160000}"/>
    <cellStyle name="Normale 56 2" xfId="2696" xr:uid="{00000000-0005-0000-0000-000005160000}"/>
    <cellStyle name="Normale 57" xfId="287" xr:uid="{00000000-0005-0000-0000-000006160000}"/>
    <cellStyle name="Normale 57 2" xfId="2697" xr:uid="{00000000-0005-0000-0000-000007160000}"/>
    <cellStyle name="Normale 58" xfId="288" xr:uid="{00000000-0005-0000-0000-000008160000}"/>
    <cellStyle name="Normale 58 2" xfId="2698" xr:uid="{00000000-0005-0000-0000-000009160000}"/>
    <cellStyle name="Normale 59" xfId="289" xr:uid="{00000000-0005-0000-0000-00000A160000}"/>
    <cellStyle name="Normale 59 2" xfId="2699" xr:uid="{00000000-0005-0000-0000-00000B160000}"/>
    <cellStyle name="Normale 6" xfId="290" xr:uid="{00000000-0005-0000-0000-00000C160000}"/>
    <cellStyle name="Normale 6 2" xfId="291" xr:uid="{00000000-0005-0000-0000-00000D160000}"/>
    <cellStyle name="Normale 6 2 2" xfId="2701" xr:uid="{00000000-0005-0000-0000-00000E160000}"/>
    <cellStyle name="Normale 6 3" xfId="292" xr:uid="{00000000-0005-0000-0000-00000F160000}"/>
    <cellStyle name="Normale 6 3 2" xfId="2702" xr:uid="{00000000-0005-0000-0000-000010160000}"/>
    <cellStyle name="Normale 6 4" xfId="2700" xr:uid="{00000000-0005-0000-0000-000011160000}"/>
    <cellStyle name="Normale 6_EDEN industria 2008 rev" xfId="293" xr:uid="{00000000-0005-0000-0000-000012160000}"/>
    <cellStyle name="Normale 60" xfId="294" xr:uid="{00000000-0005-0000-0000-000013160000}"/>
    <cellStyle name="Normale 60 2" xfId="2703" xr:uid="{00000000-0005-0000-0000-000014160000}"/>
    <cellStyle name="Normale 61" xfId="295" xr:uid="{00000000-0005-0000-0000-000015160000}"/>
    <cellStyle name="Normale 61 2" xfId="2704" xr:uid="{00000000-0005-0000-0000-000016160000}"/>
    <cellStyle name="Normale 62" xfId="296" xr:uid="{00000000-0005-0000-0000-000017160000}"/>
    <cellStyle name="Normale 62 2" xfId="2705" xr:uid="{00000000-0005-0000-0000-000018160000}"/>
    <cellStyle name="Normale 63" xfId="297" xr:uid="{00000000-0005-0000-0000-000019160000}"/>
    <cellStyle name="Normale 63 2" xfId="2706" xr:uid="{00000000-0005-0000-0000-00001A160000}"/>
    <cellStyle name="Normale 64" xfId="298" xr:uid="{00000000-0005-0000-0000-00001B160000}"/>
    <cellStyle name="Normale 64 2" xfId="2707" xr:uid="{00000000-0005-0000-0000-00001C160000}"/>
    <cellStyle name="Normale 65" xfId="299" xr:uid="{00000000-0005-0000-0000-00001D160000}"/>
    <cellStyle name="Normale 65 2" xfId="2708" xr:uid="{00000000-0005-0000-0000-00001E160000}"/>
    <cellStyle name="Normale 7" xfId="300" xr:uid="{00000000-0005-0000-0000-00001F160000}"/>
    <cellStyle name="Normale 7 2" xfId="301" xr:uid="{00000000-0005-0000-0000-000020160000}"/>
    <cellStyle name="Normale 7 2 2" xfId="2710" xr:uid="{00000000-0005-0000-0000-000021160000}"/>
    <cellStyle name="Normale 7 3" xfId="302" xr:uid="{00000000-0005-0000-0000-000022160000}"/>
    <cellStyle name="Normale 7 3 2" xfId="2711" xr:uid="{00000000-0005-0000-0000-000023160000}"/>
    <cellStyle name="Normale 7 4" xfId="2709" xr:uid="{00000000-0005-0000-0000-000024160000}"/>
    <cellStyle name="Normale 7_EDEN industria 2008 rev" xfId="303" xr:uid="{00000000-0005-0000-0000-000025160000}"/>
    <cellStyle name="Normale 8" xfId="304" xr:uid="{00000000-0005-0000-0000-000026160000}"/>
    <cellStyle name="Normale 8 2" xfId="305" xr:uid="{00000000-0005-0000-0000-000027160000}"/>
    <cellStyle name="Normale 8 2 2" xfId="2713" xr:uid="{00000000-0005-0000-0000-000028160000}"/>
    <cellStyle name="Normale 8 3" xfId="306" xr:uid="{00000000-0005-0000-0000-000029160000}"/>
    <cellStyle name="Normale 8 3 2" xfId="2714" xr:uid="{00000000-0005-0000-0000-00002A160000}"/>
    <cellStyle name="Normale 8 4" xfId="2712" xr:uid="{00000000-0005-0000-0000-00002B160000}"/>
    <cellStyle name="Normale 8_EDEN industria 2008 rev" xfId="307" xr:uid="{00000000-0005-0000-0000-00002C160000}"/>
    <cellStyle name="Normale 9" xfId="308" xr:uid="{00000000-0005-0000-0000-00002D160000}"/>
    <cellStyle name="Normale 9 2" xfId="309" xr:uid="{00000000-0005-0000-0000-00002E160000}"/>
    <cellStyle name="Normale 9 2 2" xfId="2716" xr:uid="{00000000-0005-0000-0000-00002F160000}"/>
    <cellStyle name="Normale 9 3" xfId="310" xr:uid="{00000000-0005-0000-0000-000030160000}"/>
    <cellStyle name="Normale 9 3 2" xfId="2717" xr:uid="{00000000-0005-0000-0000-000031160000}"/>
    <cellStyle name="Normale 9 4" xfId="2715" xr:uid="{00000000-0005-0000-0000-000032160000}"/>
    <cellStyle name="Normale 9_EDEN industria 2008 rev" xfId="311" xr:uid="{00000000-0005-0000-0000-000033160000}"/>
    <cellStyle name="Normale_B2020" xfId="1346" xr:uid="{00000000-0005-0000-0000-000034160000}"/>
    <cellStyle name="Nota" xfId="312" xr:uid="{00000000-0005-0000-0000-000035160000}"/>
    <cellStyle name="Nota 2" xfId="548" xr:uid="{00000000-0005-0000-0000-000036160000}"/>
    <cellStyle name="Nota 2 2" xfId="2718" xr:uid="{00000000-0005-0000-0000-000037160000}"/>
    <cellStyle name="Nota 2 2 2" xfId="7501" xr:uid="{00000000-0005-0000-0000-000038160000}"/>
    <cellStyle name="Nota 2 2 3" xfId="7573" xr:uid="{00000000-0005-0000-0000-000039160000}"/>
    <cellStyle name="Nota 2 2 4" xfId="7656" xr:uid="{00000000-0005-0000-0000-00003A160000}"/>
    <cellStyle name="Nota 2 3" xfId="7492" xr:uid="{00000000-0005-0000-0000-00003B160000}"/>
    <cellStyle name="Nota 2 4" xfId="7564" xr:uid="{00000000-0005-0000-0000-00003C160000}"/>
    <cellStyle name="Nota 2 5" xfId="7655" xr:uid="{00000000-0005-0000-0000-00003D160000}"/>
    <cellStyle name="Nota 3" xfId="1347" xr:uid="{00000000-0005-0000-0000-00003E160000}"/>
    <cellStyle name="Nota 3 2" xfId="1348" xr:uid="{00000000-0005-0000-0000-00003F160000}"/>
    <cellStyle name="Nota 3 2 2" xfId="4294" xr:uid="{00000000-0005-0000-0000-000040160000}"/>
    <cellStyle name="Nota 3 2 2 2" xfId="4295" xr:uid="{00000000-0005-0000-0000-000041160000}"/>
    <cellStyle name="Nota 3 2 2 2 2" xfId="7517" xr:uid="{00000000-0005-0000-0000-000042160000}"/>
    <cellStyle name="Nota 3 2 2 2 3" xfId="7589" xr:uid="{00000000-0005-0000-0000-000043160000}"/>
    <cellStyle name="Nota 3 2 2 2 4" xfId="7660" xr:uid="{00000000-0005-0000-0000-000044160000}"/>
    <cellStyle name="Nota 3 2 2 3" xfId="7516" xr:uid="{00000000-0005-0000-0000-000045160000}"/>
    <cellStyle name="Nota 3 2 2 4" xfId="7588" xr:uid="{00000000-0005-0000-0000-000046160000}"/>
    <cellStyle name="Nota 3 2 2 5" xfId="7659" xr:uid="{00000000-0005-0000-0000-000047160000}"/>
    <cellStyle name="Nota 3 2 3" xfId="4296" xr:uid="{00000000-0005-0000-0000-000048160000}"/>
    <cellStyle name="Nota 3 2 3 2" xfId="7518" xr:uid="{00000000-0005-0000-0000-000049160000}"/>
    <cellStyle name="Nota 3 2 3 3" xfId="7590" xr:uid="{00000000-0005-0000-0000-00004A160000}"/>
    <cellStyle name="Nota 3 2 3 4" xfId="7661" xr:uid="{00000000-0005-0000-0000-00004B160000}"/>
    <cellStyle name="Nota 3 2 4" xfId="7496" xr:uid="{00000000-0005-0000-0000-00004C160000}"/>
    <cellStyle name="Nota 3 2 5" xfId="7568" xr:uid="{00000000-0005-0000-0000-00004D160000}"/>
    <cellStyle name="Nota 3 2 6" xfId="7658" xr:uid="{00000000-0005-0000-0000-00004E160000}"/>
    <cellStyle name="Nota 3 3" xfId="1349" xr:uid="{00000000-0005-0000-0000-00004F160000}"/>
    <cellStyle name="Nota 3 3 2" xfId="2720" xr:uid="{00000000-0005-0000-0000-000050160000}"/>
    <cellStyle name="Nota 3 3 2 2" xfId="7503" xr:uid="{00000000-0005-0000-0000-000051160000}"/>
    <cellStyle name="Nota 3 3 2 3" xfId="7575" xr:uid="{00000000-0005-0000-0000-000052160000}"/>
    <cellStyle name="Nota 3 3 2 4" xfId="7719" xr:uid="{00000000-0005-0000-0000-000053160000}"/>
    <cellStyle name="Nota 3 3 3" xfId="7497" xr:uid="{00000000-0005-0000-0000-000054160000}"/>
    <cellStyle name="Nota 3 3 4" xfId="7569" xr:uid="{00000000-0005-0000-0000-000055160000}"/>
    <cellStyle name="Nota 3 3 5" xfId="7662" xr:uid="{00000000-0005-0000-0000-000056160000}"/>
    <cellStyle name="Nota 3 4" xfId="2719" xr:uid="{00000000-0005-0000-0000-000057160000}"/>
    <cellStyle name="Nota 3 4 2" xfId="7502" xr:uid="{00000000-0005-0000-0000-000058160000}"/>
    <cellStyle name="Nota 3 4 3" xfId="7574" xr:uid="{00000000-0005-0000-0000-000059160000}"/>
    <cellStyle name="Nota 3 4 4" xfId="7718" xr:uid="{00000000-0005-0000-0000-00005A160000}"/>
    <cellStyle name="Nota 3 5" xfId="7495" xr:uid="{00000000-0005-0000-0000-00005B160000}"/>
    <cellStyle name="Nota 3 6" xfId="7567" xr:uid="{00000000-0005-0000-0000-00005C160000}"/>
    <cellStyle name="Nota 3 7" xfId="7657" xr:uid="{00000000-0005-0000-0000-00005D160000}"/>
    <cellStyle name="Nota 4" xfId="1350" xr:uid="{00000000-0005-0000-0000-00005E160000}"/>
    <cellStyle name="Nota 4 2" xfId="1351" xr:uid="{00000000-0005-0000-0000-00005F160000}"/>
    <cellStyle name="Nota 4 2 2" xfId="2722" xr:uid="{00000000-0005-0000-0000-000060160000}"/>
    <cellStyle name="Nota 4 2 2 2" xfId="7505" xr:uid="{00000000-0005-0000-0000-000061160000}"/>
    <cellStyle name="Nota 4 2 2 3" xfId="7577" xr:uid="{00000000-0005-0000-0000-000062160000}"/>
    <cellStyle name="Nota 4 2 2 4" xfId="7665" xr:uid="{00000000-0005-0000-0000-000063160000}"/>
    <cellStyle name="Nota 4 2 3" xfId="7499" xr:uid="{00000000-0005-0000-0000-000064160000}"/>
    <cellStyle name="Nota 4 2 4" xfId="7571" xr:uid="{00000000-0005-0000-0000-000065160000}"/>
    <cellStyle name="Nota 4 2 5" xfId="7664" xr:uid="{00000000-0005-0000-0000-000066160000}"/>
    <cellStyle name="Nota 4 3" xfId="2721" xr:uid="{00000000-0005-0000-0000-000067160000}"/>
    <cellStyle name="Nota 4 3 2" xfId="7504" xr:uid="{00000000-0005-0000-0000-000068160000}"/>
    <cellStyle name="Nota 4 3 3" xfId="7576" xr:uid="{00000000-0005-0000-0000-000069160000}"/>
    <cellStyle name="Nota 4 3 4" xfId="7666" xr:uid="{00000000-0005-0000-0000-00006A160000}"/>
    <cellStyle name="Nota 4 4" xfId="7498" xr:uid="{00000000-0005-0000-0000-00006B160000}"/>
    <cellStyle name="Nota 4 5" xfId="7570" xr:uid="{00000000-0005-0000-0000-00006C160000}"/>
    <cellStyle name="Nota 4 6" xfId="7663" xr:uid="{00000000-0005-0000-0000-00006D160000}"/>
    <cellStyle name="Nota 5" xfId="1352" xr:uid="{00000000-0005-0000-0000-00006E160000}"/>
    <cellStyle name="Nota 5 2" xfId="4297" xr:uid="{00000000-0005-0000-0000-00006F160000}"/>
    <cellStyle name="Nota 5 2 2" xfId="7519" xr:uid="{00000000-0005-0000-0000-000070160000}"/>
    <cellStyle name="Nota 5 2 3" xfId="7591" xr:uid="{00000000-0005-0000-0000-000071160000}"/>
    <cellStyle name="Nota 5 2 4" xfId="7668" xr:uid="{00000000-0005-0000-0000-000072160000}"/>
    <cellStyle name="Nota 5 3" xfId="7500" xr:uid="{00000000-0005-0000-0000-000073160000}"/>
    <cellStyle name="Nota 5 4" xfId="7572" xr:uid="{00000000-0005-0000-0000-000074160000}"/>
    <cellStyle name="Nota 5 5" xfId="7667" xr:uid="{00000000-0005-0000-0000-000075160000}"/>
    <cellStyle name="Nota 6" xfId="4298" xr:uid="{00000000-0005-0000-0000-000076160000}"/>
    <cellStyle name="Nota 6 2" xfId="7520" xr:uid="{00000000-0005-0000-0000-000077160000}"/>
    <cellStyle name="Nota 6 3" xfId="7592" xr:uid="{00000000-0005-0000-0000-000078160000}"/>
    <cellStyle name="Nota 6 4" xfId="7669" xr:uid="{00000000-0005-0000-0000-000079160000}"/>
    <cellStyle name="Nota 7" xfId="7491" xr:uid="{00000000-0005-0000-0000-00007A160000}"/>
    <cellStyle name="Nota 8" xfId="7563" xr:uid="{00000000-0005-0000-0000-00007B160000}"/>
    <cellStyle name="Nota 9" xfId="7654" xr:uid="{00000000-0005-0000-0000-00007C160000}"/>
    <cellStyle name="Note 2" xfId="4299" xr:uid="{00000000-0005-0000-0000-00007D160000}"/>
    <cellStyle name="Note 2 2" xfId="4300" xr:uid="{00000000-0005-0000-0000-00007E160000}"/>
    <cellStyle name="Note 2 2 2" xfId="4301" xr:uid="{00000000-0005-0000-0000-00007F160000}"/>
    <cellStyle name="Note 2 2 2 2" xfId="6374" xr:uid="{00000000-0005-0000-0000-000080160000}"/>
    <cellStyle name="Note 2 2 2 3" xfId="7319" xr:uid="{00000000-0005-0000-0000-000081160000}"/>
    <cellStyle name="Note 2 2 2 4" xfId="7452" xr:uid="{00000000-0005-0000-0000-000082160000}"/>
    <cellStyle name="Note 2 2 3" xfId="6373" xr:uid="{00000000-0005-0000-0000-000083160000}"/>
    <cellStyle name="Note 2 2 4" xfId="7318" xr:uid="{00000000-0005-0000-0000-000084160000}"/>
    <cellStyle name="Note 2 2 5" xfId="7451" xr:uid="{00000000-0005-0000-0000-000085160000}"/>
    <cellStyle name="Note 2 3" xfId="4302" xr:uid="{00000000-0005-0000-0000-000086160000}"/>
    <cellStyle name="Note 2 3 2" xfId="6375" xr:uid="{00000000-0005-0000-0000-000087160000}"/>
    <cellStyle name="Note 2 3 3" xfId="7320" xr:uid="{00000000-0005-0000-0000-000088160000}"/>
    <cellStyle name="Note 2 3 4" xfId="7453" xr:uid="{00000000-0005-0000-0000-000089160000}"/>
    <cellStyle name="Note 2 4" xfId="6372" xr:uid="{00000000-0005-0000-0000-00008A160000}"/>
    <cellStyle name="Note 2 5" xfId="7317" xr:uid="{00000000-0005-0000-0000-00008B160000}"/>
    <cellStyle name="Note 2 6" xfId="7450" xr:uid="{00000000-0005-0000-0000-00008C160000}"/>
    <cellStyle name="Nuovo" xfId="313" xr:uid="{00000000-0005-0000-0000-00008D160000}"/>
    <cellStyle name="Nuovo 10" xfId="314" xr:uid="{00000000-0005-0000-0000-00008E160000}"/>
    <cellStyle name="Nuovo 10 2" xfId="550" xr:uid="{00000000-0005-0000-0000-00008F160000}"/>
    <cellStyle name="Nuovo 10 2 2" xfId="2723" xr:uid="{00000000-0005-0000-0000-000090160000}"/>
    <cellStyle name="Nuovo 10 3" xfId="1353" xr:uid="{00000000-0005-0000-0000-000091160000}"/>
    <cellStyle name="Nuovo 10 3 2" xfId="1354" xr:uid="{00000000-0005-0000-0000-000092160000}"/>
    <cellStyle name="Nuovo 10 3 2 2" xfId="4303" xr:uid="{00000000-0005-0000-0000-000093160000}"/>
    <cellStyle name="Nuovo 10 3 2 3" xfId="5335" xr:uid="{00000000-0005-0000-0000-000094160000}"/>
    <cellStyle name="Nuovo 10 3 3" xfId="1355" xr:uid="{00000000-0005-0000-0000-000095160000}"/>
    <cellStyle name="Nuovo 10 3 3 2" xfId="2725" xr:uid="{00000000-0005-0000-0000-000096160000}"/>
    <cellStyle name="Nuovo 10 3 4" xfId="2724" xr:uid="{00000000-0005-0000-0000-000097160000}"/>
    <cellStyle name="Nuovo 10 4" xfId="1356" xr:uid="{00000000-0005-0000-0000-000098160000}"/>
    <cellStyle name="Nuovo 10 4 2" xfId="1357" xr:uid="{00000000-0005-0000-0000-000099160000}"/>
    <cellStyle name="Nuovo 10 4 2 2" xfId="2727" xr:uid="{00000000-0005-0000-0000-00009A160000}"/>
    <cellStyle name="Nuovo 10 4 3" xfId="2726" xr:uid="{00000000-0005-0000-0000-00009B160000}"/>
    <cellStyle name="Nuovo 10 5" xfId="1358" xr:uid="{00000000-0005-0000-0000-00009C160000}"/>
    <cellStyle name="Nuovo 11" xfId="315" xr:uid="{00000000-0005-0000-0000-00009D160000}"/>
    <cellStyle name="Nuovo 11 2" xfId="551" xr:uid="{00000000-0005-0000-0000-00009E160000}"/>
    <cellStyle name="Nuovo 11 2 2" xfId="2728" xr:uid="{00000000-0005-0000-0000-00009F160000}"/>
    <cellStyle name="Nuovo 11 3" xfId="1359" xr:uid="{00000000-0005-0000-0000-0000A0160000}"/>
    <cellStyle name="Nuovo 11 3 2" xfId="1360" xr:uid="{00000000-0005-0000-0000-0000A1160000}"/>
    <cellStyle name="Nuovo 11 3 2 2" xfId="4304" xr:uid="{00000000-0005-0000-0000-0000A2160000}"/>
    <cellStyle name="Nuovo 11 3 2 3" xfId="5336" xr:uid="{00000000-0005-0000-0000-0000A3160000}"/>
    <cellStyle name="Nuovo 11 3 3" xfId="1361" xr:uid="{00000000-0005-0000-0000-0000A4160000}"/>
    <cellStyle name="Nuovo 11 3 3 2" xfId="2730" xr:uid="{00000000-0005-0000-0000-0000A5160000}"/>
    <cellStyle name="Nuovo 11 3 4" xfId="2729" xr:uid="{00000000-0005-0000-0000-0000A6160000}"/>
    <cellStyle name="Nuovo 11 4" xfId="1362" xr:uid="{00000000-0005-0000-0000-0000A7160000}"/>
    <cellStyle name="Nuovo 11 4 2" xfId="1363" xr:uid="{00000000-0005-0000-0000-0000A8160000}"/>
    <cellStyle name="Nuovo 11 4 2 2" xfId="2732" xr:uid="{00000000-0005-0000-0000-0000A9160000}"/>
    <cellStyle name="Nuovo 11 4 3" xfId="2731" xr:uid="{00000000-0005-0000-0000-0000AA160000}"/>
    <cellStyle name="Nuovo 11 5" xfId="1364" xr:uid="{00000000-0005-0000-0000-0000AB160000}"/>
    <cellStyle name="Nuovo 12" xfId="316" xr:uid="{00000000-0005-0000-0000-0000AC160000}"/>
    <cellStyle name="Nuovo 12 2" xfId="552" xr:uid="{00000000-0005-0000-0000-0000AD160000}"/>
    <cellStyle name="Nuovo 12 2 2" xfId="2733" xr:uid="{00000000-0005-0000-0000-0000AE160000}"/>
    <cellStyle name="Nuovo 12 3" xfId="1365" xr:uid="{00000000-0005-0000-0000-0000AF160000}"/>
    <cellStyle name="Nuovo 12 3 2" xfId="1366" xr:uid="{00000000-0005-0000-0000-0000B0160000}"/>
    <cellStyle name="Nuovo 12 3 2 2" xfId="4305" xr:uid="{00000000-0005-0000-0000-0000B1160000}"/>
    <cellStyle name="Nuovo 12 3 2 3" xfId="5337" xr:uid="{00000000-0005-0000-0000-0000B2160000}"/>
    <cellStyle name="Nuovo 12 3 3" xfId="1367" xr:uid="{00000000-0005-0000-0000-0000B3160000}"/>
    <cellStyle name="Nuovo 12 3 3 2" xfId="2735" xr:uid="{00000000-0005-0000-0000-0000B4160000}"/>
    <cellStyle name="Nuovo 12 3 4" xfId="2734" xr:uid="{00000000-0005-0000-0000-0000B5160000}"/>
    <cellStyle name="Nuovo 12 4" xfId="1368" xr:uid="{00000000-0005-0000-0000-0000B6160000}"/>
    <cellStyle name="Nuovo 12 4 2" xfId="1369" xr:uid="{00000000-0005-0000-0000-0000B7160000}"/>
    <cellStyle name="Nuovo 12 4 2 2" xfId="2737" xr:uid="{00000000-0005-0000-0000-0000B8160000}"/>
    <cellStyle name="Nuovo 12 4 3" xfId="2736" xr:uid="{00000000-0005-0000-0000-0000B9160000}"/>
    <cellStyle name="Nuovo 12 5" xfId="1370" xr:uid="{00000000-0005-0000-0000-0000BA160000}"/>
    <cellStyle name="Nuovo 13" xfId="317" xr:uid="{00000000-0005-0000-0000-0000BB160000}"/>
    <cellStyle name="Nuovo 13 2" xfId="553" xr:uid="{00000000-0005-0000-0000-0000BC160000}"/>
    <cellStyle name="Nuovo 13 2 2" xfId="2738" xr:uid="{00000000-0005-0000-0000-0000BD160000}"/>
    <cellStyle name="Nuovo 13 3" xfId="1371" xr:uid="{00000000-0005-0000-0000-0000BE160000}"/>
    <cellStyle name="Nuovo 13 3 2" xfId="1372" xr:uid="{00000000-0005-0000-0000-0000BF160000}"/>
    <cellStyle name="Nuovo 13 3 2 2" xfId="4306" xr:uid="{00000000-0005-0000-0000-0000C0160000}"/>
    <cellStyle name="Nuovo 13 3 2 3" xfId="5338" xr:uid="{00000000-0005-0000-0000-0000C1160000}"/>
    <cellStyle name="Nuovo 13 3 3" xfId="1373" xr:uid="{00000000-0005-0000-0000-0000C2160000}"/>
    <cellStyle name="Nuovo 13 3 3 2" xfId="2740" xr:uid="{00000000-0005-0000-0000-0000C3160000}"/>
    <cellStyle name="Nuovo 13 3 4" xfId="2739" xr:uid="{00000000-0005-0000-0000-0000C4160000}"/>
    <cellStyle name="Nuovo 13 4" xfId="1374" xr:uid="{00000000-0005-0000-0000-0000C5160000}"/>
    <cellStyle name="Nuovo 13 4 2" xfId="1375" xr:uid="{00000000-0005-0000-0000-0000C6160000}"/>
    <cellStyle name="Nuovo 13 4 2 2" xfId="2742" xr:uid="{00000000-0005-0000-0000-0000C7160000}"/>
    <cellStyle name="Nuovo 13 4 3" xfId="2741" xr:uid="{00000000-0005-0000-0000-0000C8160000}"/>
    <cellStyle name="Nuovo 13 5" xfId="1376" xr:uid="{00000000-0005-0000-0000-0000C9160000}"/>
    <cellStyle name="Nuovo 14" xfId="318" xr:uid="{00000000-0005-0000-0000-0000CA160000}"/>
    <cellStyle name="Nuovo 14 2" xfId="554" xr:uid="{00000000-0005-0000-0000-0000CB160000}"/>
    <cellStyle name="Nuovo 14 2 2" xfId="2743" xr:uid="{00000000-0005-0000-0000-0000CC160000}"/>
    <cellStyle name="Nuovo 14 3" xfId="1377" xr:uid="{00000000-0005-0000-0000-0000CD160000}"/>
    <cellStyle name="Nuovo 14 3 2" xfId="1378" xr:uid="{00000000-0005-0000-0000-0000CE160000}"/>
    <cellStyle name="Nuovo 14 3 2 2" xfId="4307" xr:uid="{00000000-0005-0000-0000-0000CF160000}"/>
    <cellStyle name="Nuovo 14 3 2 3" xfId="5339" xr:uid="{00000000-0005-0000-0000-0000D0160000}"/>
    <cellStyle name="Nuovo 14 3 3" xfId="1379" xr:uid="{00000000-0005-0000-0000-0000D1160000}"/>
    <cellStyle name="Nuovo 14 3 3 2" xfId="2745" xr:uid="{00000000-0005-0000-0000-0000D2160000}"/>
    <cellStyle name="Nuovo 14 3 4" xfId="2744" xr:uid="{00000000-0005-0000-0000-0000D3160000}"/>
    <cellStyle name="Nuovo 14 4" xfId="1380" xr:uid="{00000000-0005-0000-0000-0000D4160000}"/>
    <cellStyle name="Nuovo 14 4 2" xfId="1381" xr:uid="{00000000-0005-0000-0000-0000D5160000}"/>
    <cellStyle name="Nuovo 14 4 2 2" xfId="2747" xr:uid="{00000000-0005-0000-0000-0000D6160000}"/>
    <cellStyle name="Nuovo 14 4 3" xfId="2746" xr:uid="{00000000-0005-0000-0000-0000D7160000}"/>
    <cellStyle name="Nuovo 14 5" xfId="1382" xr:uid="{00000000-0005-0000-0000-0000D8160000}"/>
    <cellStyle name="Nuovo 15" xfId="319" xr:uid="{00000000-0005-0000-0000-0000D9160000}"/>
    <cellStyle name="Nuovo 15 2" xfId="555" xr:uid="{00000000-0005-0000-0000-0000DA160000}"/>
    <cellStyle name="Nuovo 15 2 2" xfId="2748" xr:uid="{00000000-0005-0000-0000-0000DB160000}"/>
    <cellStyle name="Nuovo 15 3" xfId="1383" xr:uid="{00000000-0005-0000-0000-0000DC160000}"/>
    <cellStyle name="Nuovo 15 3 2" xfId="1384" xr:uid="{00000000-0005-0000-0000-0000DD160000}"/>
    <cellStyle name="Nuovo 15 3 2 2" xfId="4308" xr:uid="{00000000-0005-0000-0000-0000DE160000}"/>
    <cellStyle name="Nuovo 15 3 2 3" xfId="5340" xr:uid="{00000000-0005-0000-0000-0000DF160000}"/>
    <cellStyle name="Nuovo 15 3 3" xfId="1385" xr:uid="{00000000-0005-0000-0000-0000E0160000}"/>
    <cellStyle name="Nuovo 15 3 3 2" xfId="2750" xr:uid="{00000000-0005-0000-0000-0000E1160000}"/>
    <cellStyle name="Nuovo 15 3 4" xfId="2749" xr:uid="{00000000-0005-0000-0000-0000E2160000}"/>
    <cellStyle name="Nuovo 15 4" xfId="1386" xr:uid="{00000000-0005-0000-0000-0000E3160000}"/>
    <cellStyle name="Nuovo 15 4 2" xfId="1387" xr:uid="{00000000-0005-0000-0000-0000E4160000}"/>
    <cellStyle name="Nuovo 15 4 2 2" xfId="2752" xr:uid="{00000000-0005-0000-0000-0000E5160000}"/>
    <cellStyle name="Nuovo 15 4 3" xfId="2751" xr:uid="{00000000-0005-0000-0000-0000E6160000}"/>
    <cellStyle name="Nuovo 15 5" xfId="1388" xr:uid="{00000000-0005-0000-0000-0000E7160000}"/>
    <cellStyle name="Nuovo 16" xfId="320" xr:uid="{00000000-0005-0000-0000-0000E8160000}"/>
    <cellStyle name="Nuovo 16 2" xfId="556" xr:uid="{00000000-0005-0000-0000-0000E9160000}"/>
    <cellStyle name="Nuovo 16 2 2" xfId="2753" xr:uid="{00000000-0005-0000-0000-0000EA160000}"/>
    <cellStyle name="Nuovo 16 3" xfId="1389" xr:uid="{00000000-0005-0000-0000-0000EB160000}"/>
    <cellStyle name="Nuovo 16 3 2" xfId="1390" xr:uid="{00000000-0005-0000-0000-0000EC160000}"/>
    <cellStyle name="Nuovo 16 3 2 2" xfId="4309" xr:uid="{00000000-0005-0000-0000-0000ED160000}"/>
    <cellStyle name="Nuovo 16 3 2 3" xfId="5341" xr:uid="{00000000-0005-0000-0000-0000EE160000}"/>
    <cellStyle name="Nuovo 16 3 3" xfId="1391" xr:uid="{00000000-0005-0000-0000-0000EF160000}"/>
    <cellStyle name="Nuovo 16 3 3 2" xfId="2755" xr:uid="{00000000-0005-0000-0000-0000F0160000}"/>
    <cellStyle name="Nuovo 16 3 4" xfId="2754" xr:uid="{00000000-0005-0000-0000-0000F1160000}"/>
    <cellStyle name="Nuovo 16 4" xfId="1392" xr:uid="{00000000-0005-0000-0000-0000F2160000}"/>
    <cellStyle name="Nuovo 16 4 2" xfId="1393" xr:uid="{00000000-0005-0000-0000-0000F3160000}"/>
    <cellStyle name="Nuovo 16 4 2 2" xfId="2757" xr:uid="{00000000-0005-0000-0000-0000F4160000}"/>
    <cellStyle name="Nuovo 16 4 3" xfId="2756" xr:uid="{00000000-0005-0000-0000-0000F5160000}"/>
    <cellStyle name="Nuovo 16 5" xfId="1394" xr:uid="{00000000-0005-0000-0000-0000F6160000}"/>
    <cellStyle name="Nuovo 17" xfId="321" xr:uid="{00000000-0005-0000-0000-0000F7160000}"/>
    <cellStyle name="Nuovo 17 2" xfId="557" xr:uid="{00000000-0005-0000-0000-0000F8160000}"/>
    <cellStyle name="Nuovo 17 2 2" xfId="2758" xr:uid="{00000000-0005-0000-0000-0000F9160000}"/>
    <cellStyle name="Nuovo 17 3" xfId="1395" xr:uid="{00000000-0005-0000-0000-0000FA160000}"/>
    <cellStyle name="Nuovo 17 3 2" xfId="1396" xr:uid="{00000000-0005-0000-0000-0000FB160000}"/>
    <cellStyle name="Nuovo 17 3 2 2" xfId="4310" xr:uid="{00000000-0005-0000-0000-0000FC160000}"/>
    <cellStyle name="Nuovo 17 3 2 3" xfId="5342" xr:uid="{00000000-0005-0000-0000-0000FD160000}"/>
    <cellStyle name="Nuovo 17 3 3" xfId="1397" xr:uid="{00000000-0005-0000-0000-0000FE160000}"/>
    <cellStyle name="Nuovo 17 3 3 2" xfId="2760" xr:uid="{00000000-0005-0000-0000-0000FF160000}"/>
    <cellStyle name="Nuovo 17 3 4" xfId="2759" xr:uid="{00000000-0005-0000-0000-000000170000}"/>
    <cellStyle name="Nuovo 17 4" xfId="1398" xr:uid="{00000000-0005-0000-0000-000001170000}"/>
    <cellStyle name="Nuovo 17 4 2" xfId="1399" xr:uid="{00000000-0005-0000-0000-000002170000}"/>
    <cellStyle name="Nuovo 17 4 2 2" xfId="2762" xr:uid="{00000000-0005-0000-0000-000003170000}"/>
    <cellStyle name="Nuovo 17 4 3" xfId="2761" xr:uid="{00000000-0005-0000-0000-000004170000}"/>
    <cellStyle name="Nuovo 17 5" xfId="1400" xr:uid="{00000000-0005-0000-0000-000005170000}"/>
    <cellStyle name="Nuovo 18" xfId="322" xr:uid="{00000000-0005-0000-0000-000006170000}"/>
    <cellStyle name="Nuovo 18 2" xfId="558" xr:uid="{00000000-0005-0000-0000-000007170000}"/>
    <cellStyle name="Nuovo 18 2 2" xfId="2763" xr:uid="{00000000-0005-0000-0000-000008170000}"/>
    <cellStyle name="Nuovo 18 3" xfId="1401" xr:uid="{00000000-0005-0000-0000-000009170000}"/>
    <cellStyle name="Nuovo 18 3 2" xfId="1402" xr:uid="{00000000-0005-0000-0000-00000A170000}"/>
    <cellStyle name="Nuovo 18 3 2 2" xfId="4311" xr:uid="{00000000-0005-0000-0000-00000B170000}"/>
    <cellStyle name="Nuovo 18 3 2 3" xfId="5343" xr:uid="{00000000-0005-0000-0000-00000C170000}"/>
    <cellStyle name="Nuovo 18 3 3" xfId="1403" xr:uid="{00000000-0005-0000-0000-00000D170000}"/>
    <cellStyle name="Nuovo 18 3 3 2" xfId="2765" xr:uid="{00000000-0005-0000-0000-00000E170000}"/>
    <cellStyle name="Nuovo 18 3 4" xfId="2764" xr:uid="{00000000-0005-0000-0000-00000F170000}"/>
    <cellStyle name="Nuovo 18 4" xfId="1404" xr:uid="{00000000-0005-0000-0000-000010170000}"/>
    <cellStyle name="Nuovo 18 4 2" xfId="1405" xr:uid="{00000000-0005-0000-0000-000011170000}"/>
    <cellStyle name="Nuovo 18 4 2 2" xfId="2767" xr:uid="{00000000-0005-0000-0000-000012170000}"/>
    <cellStyle name="Nuovo 18 4 3" xfId="2766" xr:uid="{00000000-0005-0000-0000-000013170000}"/>
    <cellStyle name="Nuovo 18 5" xfId="1406" xr:uid="{00000000-0005-0000-0000-000014170000}"/>
    <cellStyle name="Nuovo 19" xfId="323" xr:uid="{00000000-0005-0000-0000-000015170000}"/>
    <cellStyle name="Nuovo 19 2" xfId="559" xr:uid="{00000000-0005-0000-0000-000016170000}"/>
    <cellStyle name="Nuovo 19 2 2" xfId="2768" xr:uid="{00000000-0005-0000-0000-000017170000}"/>
    <cellStyle name="Nuovo 19 3" xfId="1407" xr:uid="{00000000-0005-0000-0000-000018170000}"/>
    <cellStyle name="Nuovo 19 3 2" xfId="1408" xr:uid="{00000000-0005-0000-0000-000019170000}"/>
    <cellStyle name="Nuovo 19 3 2 2" xfId="4312" xr:uid="{00000000-0005-0000-0000-00001A170000}"/>
    <cellStyle name="Nuovo 19 3 2 3" xfId="5344" xr:uid="{00000000-0005-0000-0000-00001B170000}"/>
    <cellStyle name="Nuovo 19 3 3" xfId="1409" xr:uid="{00000000-0005-0000-0000-00001C170000}"/>
    <cellStyle name="Nuovo 19 3 3 2" xfId="2770" xr:uid="{00000000-0005-0000-0000-00001D170000}"/>
    <cellStyle name="Nuovo 19 3 4" xfId="2769" xr:uid="{00000000-0005-0000-0000-00001E170000}"/>
    <cellStyle name="Nuovo 19 4" xfId="1410" xr:uid="{00000000-0005-0000-0000-00001F170000}"/>
    <cellStyle name="Nuovo 19 4 2" xfId="1411" xr:uid="{00000000-0005-0000-0000-000020170000}"/>
    <cellStyle name="Nuovo 19 4 2 2" xfId="2772" xr:uid="{00000000-0005-0000-0000-000021170000}"/>
    <cellStyle name="Nuovo 19 4 3" xfId="2771" xr:uid="{00000000-0005-0000-0000-000022170000}"/>
    <cellStyle name="Nuovo 19 5" xfId="1412" xr:uid="{00000000-0005-0000-0000-000023170000}"/>
    <cellStyle name="Nuovo 2" xfId="324" xr:uid="{00000000-0005-0000-0000-000024170000}"/>
    <cellStyle name="Nuovo 2 2" xfId="560" xr:uid="{00000000-0005-0000-0000-000025170000}"/>
    <cellStyle name="Nuovo 2 2 2" xfId="2773" xr:uid="{00000000-0005-0000-0000-000026170000}"/>
    <cellStyle name="Nuovo 2 3" xfId="1413" xr:uid="{00000000-0005-0000-0000-000027170000}"/>
    <cellStyle name="Nuovo 2 3 2" xfId="1414" xr:uid="{00000000-0005-0000-0000-000028170000}"/>
    <cellStyle name="Nuovo 2 3 2 2" xfId="4313" xr:uid="{00000000-0005-0000-0000-000029170000}"/>
    <cellStyle name="Nuovo 2 3 2 3" xfId="5345" xr:uid="{00000000-0005-0000-0000-00002A170000}"/>
    <cellStyle name="Nuovo 2 3 3" xfId="1415" xr:uid="{00000000-0005-0000-0000-00002B170000}"/>
    <cellStyle name="Nuovo 2 3 3 2" xfId="2775" xr:uid="{00000000-0005-0000-0000-00002C170000}"/>
    <cellStyle name="Nuovo 2 3 4" xfId="2774" xr:uid="{00000000-0005-0000-0000-00002D170000}"/>
    <cellStyle name="Nuovo 2 4" xfId="1416" xr:uid="{00000000-0005-0000-0000-00002E170000}"/>
    <cellStyle name="Nuovo 2 4 2" xfId="1417" xr:uid="{00000000-0005-0000-0000-00002F170000}"/>
    <cellStyle name="Nuovo 2 4 2 2" xfId="2777" xr:uid="{00000000-0005-0000-0000-000030170000}"/>
    <cellStyle name="Nuovo 2 4 3" xfId="2776" xr:uid="{00000000-0005-0000-0000-000031170000}"/>
    <cellStyle name="Nuovo 2 5" xfId="1418" xr:uid="{00000000-0005-0000-0000-000032170000}"/>
    <cellStyle name="Nuovo 20" xfId="325" xr:uid="{00000000-0005-0000-0000-000033170000}"/>
    <cellStyle name="Nuovo 20 2" xfId="561" xr:uid="{00000000-0005-0000-0000-000034170000}"/>
    <cellStyle name="Nuovo 20 2 2" xfId="2778" xr:uid="{00000000-0005-0000-0000-000035170000}"/>
    <cellStyle name="Nuovo 20 3" xfId="1419" xr:uid="{00000000-0005-0000-0000-000036170000}"/>
    <cellStyle name="Nuovo 20 3 2" xfId="1420" xr:uid="{00000000-0005-0000-0000-000037170000}"/>
    <cellStyle name="Nuovo 20 3 2 2" xfId="4314" xr:uid="{00000000-0005-0000-0000-000038170000}"/>
    <cellStyle name="Nuovo 20 3 2 3" xfId="5346" xr:uid="{00000000-0005-0000-0000-000039170000}"/>
    <cellStyle name="Nuovo 20 3 3" xfId="1421" xr:uid="{00000000-0005-0000-0000-00003A170000}"/>
    <cellStyle name="Nuovo 20 3 3 2" xfId="2780" xr:uid="{00000000-0005-0000-0000-00003B170000}"/>
    <cellStyle name="Nuovo 20 3 4" xfId="2779" xr:uid="{00000000-0005-0000-0000-00003C170000}"/>
    <cellStyle name="Nuovo 20 4" xfId="1422" xr:uid="{00000000-0005-0000-0000-00003D170000}"/>
    <cellStyle name="Nuovo 20 4 2" xfId="1423" xr:uid="{00000000-0005-0000-0000-00003E170000}"/>
    <cellStyle name="Nuovo 20 4 2 2" xfId="2782" xr:uid="{00000000-0005-0000-0000-00003F170000}"/>
    <cellStyle name="Nuovo 20 4 3" xfId="2781" xr:uid="{00000000-0005-0000-0000-000040170000}"/>
    <cellStyle name="Nuovo 20 5" xfId="1424" xr:uid="{00000000-0005-0000-0000-000041170000}"/>
    <cellStyle name="Nuovo 21" xfId="326" xr:uid="{00000000-0005-0000-0000-000042170000}"/>
    <cellStyle name="Nuovo 21 2" xfId="562" xr:uid="{00000000-0005-0000-0000-000043170000}"/>
    <cellStyle name="Nuovo 21 2 2" xfId="2783" xr:uid="{00000000-0005-0000-0000-000044170000}"/>
    <cellStyle name="Nuovo 21 3" xfId="1425" xr:uid="{00000000-0005-0000-0000-000045170000}"/>
    <cellStyle name="Nuovo 21 3 2" xfId="1426" xr:uid="{00000000-0005-0000-0000-000046170000}"/>
    <cellStyle name="Nuovo 21 3 2 2" xfId="4315" xr:uid="{00000000-0005-0000-0000-000047170000}"/>
    <cellStyle name="Nuovo 21 3 2 3" xfId="5347" xr:uid="{00000000-0005-0000-0000-000048170000}"/>
    <cellStyle name="Nuovo 21 3 3" xfId="1427" xr:uid="{00000000-0005-0000-0000-000049170000}"/>
    <cellStyle name="Nuovo 21 3 3 2" xfId="2785" xr:uid="{00000000-0005-0000-0000-00004A170000}"/>
    <cellStyle name="Nuovo 21 3 4" xfId="2784" xr:uid="{00000000-0005-0000-0000-00004B170000}"/>
    <cellStyle name="Nuovo 21 4" xfId="1428" xr:uid="{00000000-0005-0000-0000-00004C170000}"/>
    <cellStyle name="Nuovo 21 4 2" xfId="1429" xr:uid="{00000000-0005-0000-0000-00004D170000}"/>
    <cellStyle name="Nuovo 21 4 2 2" xfId="2787" xr:uid="{00000000-0005-0000-0000-00004E170000}"/>
    <cellStyle name="Nuovo 21 4 3" xfId="2786" xr:uid="{00000000-0005-0000-0000-00004F170000}"/>
    <cellStyle name="Nuovo 21 5" xfId="1430" xr:uid="{00000000-0005-0000-0000-000050170000}"/>
    <cellStyle name="Nuovo 22" xfId="327" xr:uid="{00000000-0005-0000-0000-000051170000}"/>
    <cellStyle name="Nuovo 22 2" xfId="563" xr:uid="{00000000-0005-0000-0000-000052170000}"/>
    <cellStyle name="Nuovo 22 2 2" xfId="2788" xr:uid="{00000000-0005-0000-0000-000053170000}"/>
    <cellStyle name="Nuovo 22 3" xfId="1431" xr:uid="{00000000-0005-0000-0000-000054170000}"/>
    <cellStyle name="Nuovo 22 3 2" xfId="1432" xr:uid="{00000000-0005-0000-0000-000055170000}"/>
    <cellStyle name="Nuovo 22 3 2 2" xfId="4316" xr:uid="{00000000-0005-0000-0000-000056170000}"/>
    <cellStyle name="Nuovo 22 3 2 3" xfId="5348" xr:uid="{00000000-0005-0000-0000-000057170000}"/>
    <cellStyle name="Nuovo 22 3 3" xfId="1433" xr:uid="{00000000-0005-0000-0000-000058170000}"/>
    <cellStyle name="Nuovo 22 3 3 2" xfId="2790" xr:uid="{00000000-0005-0000-0000-000059170000}"/>
    <cellStyle name="Nuovo 22 3 4" xfId="2789" xr:uid="{00000000-0005-0000-0000-00005A170000}"/>
    <cellStyle name="Nuovo 22 4" xfId="1434" xr:uid="{00000000-0005-0000-0000-00005B170000}"/>
    <cellStyle name="Nuovo 22 4 2" xfId="1435" xr:uid="{00000000-0005-0000-0000-00005C170000}"/>
    <cellStyle name="Nuovo 22 4 2 2" xfId="2792" xr:uid="{00000000-0005-0000-0000-00005D170000}"/>
    <cellStyle name="Nuovo 22 4 3" xfId="2791" xr:uid="{00000000-0005-0000-0000-00005E170000}"/>
    <cellStyle name="Nuovo 22 5" xfId="1436" xr:uid="{00000000-0005-0000-0000-00005F170000}"/>
    <cellStyle name="Nuovo 23" xfId="328" xr:uid="{00000000-0005-0000-0000-000060170000}"/>
    <cellStyle name="Nuovo 23 2" xfId="564" xr:uid="{00000000-0005-0000-0000-000061170000}"/>
    <cellStyle name="Nuovo 23 2 2" xfId="2793" xr:uid="{00000000-0005-0000-0000-000062170000}"/>
    <cellStyle name="Nuovo 23 3" xfId="1437" xr:uid="{00000000-0005-0000-0000-000063170000}"/>
    <cellStyle name="Nuovo 23 3 2" xfId="1438" xr:uid="{00000000-0005-0000-0000-000064170000}"/>
    <cellStyle name="Nuovo 23 3 2 2" xfId="4317" xr:uid="{00000000-0005-0000-0000-000065170000}"/>
    <cellStyle name="Nuovo 23 3 2 3" xfId="5349" xr:uid="{00000000-0005-0000-0000-000066170000}"/>
    <cellStyle name="Nuovo 23 3 3" xfId="1439" xr:uid="{00000000-0005-0000-0000-000067170000}"/>
    <cellStyle name="Nuovo 23 3 3 2" xfId="2795" xr:uid="{00000000-0005-0000-0000-000068170000}"/>
    <cellStyle name="Nuovo 23 3 4" xfId="2794" xr:uid="{00000000-0005-0000-0000-000069170000}"/>
    <cellStyle name="Nuovo 23 4" xfId="1440" xr:uid="{00000000-0005-0000-0000-00006A170000}"/>
    <cellStyle name="Nuovo 23 4 2" xfId="1441" xr:uid="{00000000-0005-0000-0000-00006B170000}"/>
    <cellStyle name="Nuovo 23 4 2 2" xfId="2797" xr:uid="{00000000-0005-0000-0000-00006C170000}"/>
    <cellStyle name="Nuovo 23 4 3" xfId="2796" xr:uid="{00000000-0005-0000-0000-00006D170000}"/>
    <cellStyle name="Nuovo 23 5" xfId="1442" xr:uid="{00000000-0005-0000-0000-00006E170000}"/>
    <cellStyle name="Nuovo 24" xfId="329" xr:uid="{00000000-0005-0000-0000-00006F170000}"/>
    <cellStyle name="Nuovo 24 2" xfId="565" xr:uid="{00000000-0005-0000-0000-000070170000}"/>
    <cellStyle name="Nuovo 24 2 2" xfId="2798" xr:uid="{00000000-0005-0000-0000-000071170000}"/>
    <cellStyle name="Nuovo 24 3" xfId="1443" xr:uid="{00000000-0005-0000-0000-000072170000}"/>
    <cellStyle name="Nuovo 24 3 2" xfId="1444" xr:uid="{00000000-0005-0000-0000-000073170000}"/>
    <cellStyle name="Nuovo 24 3 2 2" xfId="4318" xr:uid="{00000000-0005-0000-0000-000074170000}"/>
    <cellStyle name="Nuovo 24 3 2 3" xfId="5350" xr:uid="{00000000-0005-0000-0000-000075170000}"/>
    <cellStyle name="Nuovo 24 3 3" xfId="1445" xr:uid="{00000000-0005-0000-0000-000076170000}"/>
    <cellStyle name="Nuovo 24 3 3 2" xfId="2800" xr:uid="{00000000-0005-0000-0000-000077170000}"/>
    <cellStyle name="Nuovo 24 3 4" xfId="2799" xr:uid="{00000000-0005-0000-0000-000078170000}"/>
    <cellStyle name="Nuovo 24 4" xfId="1446" xr:uid="{00000000-0005-0000-0000-000079170000}"/>
    <cellStyle name="Nuovo 24 4 2" xfId="1447" xr:uid="{00000000-0005-0000-0000-00007A170000}"/>
    <cellStyle name="Nuovo 24 4 2 2" xfId="2802" xr:uid="{00000000-0005-0000-0000-00007B170000}"/>
    <cellStyle name="Nuovo 24 4 3" xfId="2801" xr:uid="{00000000-0005-0000-0000-00007C170000}"/>
    <cellStyle name="Nuovo 24 5" xfId="1448" xr:uid="{00000000-0005-0000-0000-00007D170000}"/>
    <cellStyle name="Nuovo 25" xfId="330" xr:uid="{00000000-0005-0000-0000-00007E170000}"/>
    <cellStyle name="Nuovo 25 2" xfId="566" xr:uid="{00000000-0005-0000-0000-00007F170000}"/>
    <cellStyle name="Nuovo 25 2 2" xfId="2803" xr:uid="{00000000-0005-0000-0000-000080170000}"/>
    <cellStyle name="Nuovo 25 3" xfId="1449" xr:uid="{00000000-0005-0000-0000-000081170000}"/>
    <cellStyle name="Nuovo 25 3 2" xfId="1450" xr:uid="{00000000-0005-0000-0000-000082170000}"/>
    <cellStyle name="Nuovo 25 3 2 2" xfId="4319" xr:uid="{00000000-0005-0000-0000-000083170000}"/>
    <cellStyle name="Nuovo 25 3 2 3" xfId="5351" xr:uid="{00000000-0005-0000-0000-000084170000}"/>
    <cellStyle name="Nuovo 25 3 3" xfId="1451" xr:uid="{00000000-0005-0000-0000-000085170000}"/>
    <cellStyle name="Nuovo 25 3 3 2" xfId="2805" xr:uid="{00000000-0005-0000-0000-000086170000}"/>
    <cellStyle name="Nuovo 25 3 4" xfId="2804" xr:uid="{00000000-0005-0000-0000-000087170000}"/>
    <cellStyle name="Nuovo 25 4" xfId="1452" xr:uid="{00000000-0005-0000-0000-000088170000}"/>
    <cellStyle name="Nuovo 25 4 2" xfId="1453" xr:uid="{00000000-0005-0000-0000-000089170000}"/>
    <cellStyle name="Nuovo 25 4 2 2" xfId="2807" xr:uid="{00000000-0005-0000-0000-00008A170000}"/>
    <cellStyle name="Nuovo 25 4 3" xfId="2806" xr:uid="{00000000-0005-0000-0000-00008B170000}"/>
    <cellStyle name="Nuovo 25 5" xfId="1454" xr:uid="{00000000-0005-0000-0000-00008C170000}"/>
    <cellStyle name="Nuovo 26" xfId="331" xr:uid="{00000000-0005-0000-0000-00008D170000}"/>
    <cellStyle name="Nuovo 26 2" xfId="567" xr:uid="{00000000-0005-0000-0000-00008E170000}"/>
    <cellStyle name="Nuovo 26 2 2" xfId="2808" xr:uid="{00000000-0005-0000-0000-00008F170000}"/>
    <cellStyle name="Nuovo 26 3" xfId="1455" xr:uid="{00000000-0005-0000-0000-000090170000}"/>
    <cellStyle name="Nuovo 26 3 2" xfId="1456" xr:uid="{00000000-0005-0000-0000-000091170000}"/>
    <cellStyle name="Nuovo 26 3 2 2" xfId="4320" xr:uid="{00000000-0005-0000-0000-000092170000}"/>
    <cellStyle name="Nuovo 26 3 2 3" xfId="5352" xr:uid="{00000000-0005-0000-0000-000093170000}"/>
    <cellStyle name="Nuovo 26 3 3" xfId="1457" xr:uid="{00000000-0005-0000-0000-000094170000}"/>
    <cellStyle name="Nuovo 26 3 3 2" xfId="2810" xr:uid="{00000000-0005-0000-0000-000095170000}"/>
    <cellStyle name="Nuovo 26 3 4" xfId="2809" xr:uid="{00000000-0005-0000-0000-000096170000}"/>
    <cellStyle name="Nuovo 26 4" xfId="1458" xr:uid="{00000000-0005-0000-0000-000097170000}"/>
    <cellStyle name="Nuovo 26 4 2" xfId="1459" xr:uid="{00000000-0005-0000-0000-000098170000}"/>
    <cellStyle name="Nuovo 26 4 2 2" xfId="2812" xr:uid="{00000000-0005-0000-0000-000099170000}"/>
    <cellStyle name="Nuovo 26 4 3" xfId="2811" xr:uid="{00000000-0005-0000-0000-00009A170000}"/>
    <cellStyle name="Nuovo 26 5" xfId="1460" xr:uid="{00000000-0005-0000-0000-00009B170000}"/>
    <cellStyle name="Nuovo 27" xfId="332" xr:uid="{00000000-0005-0000-0000-00009C170000}"/>
    <cellStyle name="Nuovo 27 2" xfId="568" xr:uid="{00000000-0005-0000-0000-00009D170000}"/>
    <cellStyle name="Nuovo 27 2 2" xfId="2813" xr:uid="{00000000-0005-0000-0000-00009E170000}"/>
    <cellStyle name="Nuovo 27 3" xfId="1461" xr:uid="{00000000-0005-0000-0000-00009F170000}"/>
    <cellStyle name="Nuovo 27 3 2" xfId="1462" xr:uid="{00000000-0005-0000-0000-0000A0170000}"/>
    <cellStyle name="Nuovo 27 3 2 2" xfId="4321" xr:uid="{00000000-0005-0000-0000-0000A1170000}"/>
    <cellStyle name="Nuovo 27 3 2 3" xfId="5353" xr:uid="{00000000-0005-0000-0000-0000A2170000}"/>
    <cellStyle name="Nuovo 27 3 3" xfId="1463" xr:uid="{00000000-0005-0000-0000-0000A3170000}"/>
    <cellStyle name="Nuovo 27 3 3 2" xfId="2815" xr:uid="{00000000-0005-0000-0000-0000A4170000}"/>
    <cellStyle name="Nuovo 27 3 4" xfId="2814" xr:uid="{00000000-0005-0000-0000-0000A5170000}"/>
    <cellStyle name="Nuovo 27 4" xfId="1464" xr:uid="{00000000-0005-0000-0000-0000A6170000}"/>
    <cellStyle name="Nuovo 27 4 2" xfId="1465" xr:uid="{00000000-0005-0000-0000-0000A7170000}"/>
    <cellStyle name="Nuovo 27 4 2 2" xfId="2817" xr:uid="{00000000-0005-0000-0000-0000A8170000}"/>
    <cellStyle name="Nuovo 27 4 3" xfId="2816" xr:uid="{00000000-0005-0000-0000-0000A9170000}"/>
    <cellStyle name="Nuovo 27 5" xfId="1466" xr:uid="{00000000-0005-0000-0000-0000AA170000}"/>
    <cellStyle name="Nuovo 28" xfId="333" xr:uid="{00000000-0005-0000-0000-0000AB170000}"/>
    <cellStyle name="Nuovo 28 2" xfId="569" xr:uid="{00000000-0005-0000-0000-0000AC170000}"/>
    <cellStyle name="Nuovo 28 2 2" xfId="2818" xr:uid="{00000000-0005-0000-0000-0000AD170000}"/>
    <cellStyle name="Nuovo 28 3" xfId="1467" xr:uid="{00000000-0005-0000-0000-0000AE170000}"/>
    <cellStyle name="Nuovo 28 3 2" xfId="1468" xr:uid="{00000000-0005-0000-0000-0000AF170000}"/>
    <cellStyle name="Nuovo 28 3 2 2" xfId="4322" xr:uid="{00000000-0005-0000-0000-0000B0170000}"/>
    <cellStyle name="Nuovo 28 3 2 3" xfId="5354" xr:uid="{00000000-0005-0000-0000-0000B1170000}"/>
    <cellStyle name="Nuovo 28 3 3" xfId="1469" xr:uid="{00000000-0005-0000-0000-0000B2170000}"/>
    <cellStyle name="Nuovo 28 3 3 2" xfId="2820" xr:uid="{00000000-0005-0000-0000-0000B3170000}"/>
    <cellStyle name="Nuovo 28 3 4" xfId="2819" xr:uid="{00000000-0005-0000-0000-0000B4170000}"/>
    <cellStyle name="Nuovo 28 4" xfId="1470" xr:uid="{00000000-0005-0000-0000-0000B5170000}"/>
    <cellStyle name="Nuovo 28 4 2" xfId="1471" xr:uid="{00000000-0005-0000-0000-0000B6170000}"/>
    <cellStyle name="Nuovo 28 4 2 2" xfId="2822" xr:uid="{00000000-0005-0000-0000-0000B7170000}"/>
    <cellStyle name="Nuovo 28 4 3" xfId="2821" xr:uid="{00000000-0005-0000-0000-0000B8170000}"/>
    <cellStyle name="Nuovo 28 5" xfId="1472" xr:uid="{00000000-0005-0000-0000-0000B9170000}"/>
    <cellStyle name="Nuovo 29" xfId="334" xr:uid="{00000000-0005-0000-0000-0000BA170000}"/>
    <cellStyle name="Nuovo 29 2" xfId="570" xr:uid="{00000000-0005-0000-0000-0000BB170000}"/>
    <cellStyle name="Nuovo 29 2 2" xfId="2823" xr:uid="{00000000-0005-0000-0000-0000BC170000}"/>
    <cellStyle name="Nuovo 29 3" xfId="1473" xr:uid="{00000000-0005-0000-0000-0000BD170000}"/>
    <cellStyle name="Nuovo 29 3 2" xfId="1474" xr:uid="{00000000-0005-0000-0000-0000BE170000}"/>
    <cellStyle name="Nuovo 29 3 2 2" xfId="4323" xr:uid="{00000000-0005-0000-0000-0000BF170000}"/>
    <cellStyle name="Nuovo 29 3 2 3" xfId="5355" xr:uid="{00000000-0005-0000-0000-0000C0170000}"/>
    <cellStyle name="Nuovo 29 3 3" xfId="1475" xr:uid="{00000000-0005-0000-0000-0000C1170000}"/>
    <cellStyle name="Nuovo 29 3 3 2" xfId="2825" xr:uid="{00000000-0005-0000-0000-0000C2170000}"/>
    <cellStyle name="Nuovo 29 3 4" xfId="2824" xr:uid="{00000000-0005-0000-0000-0000C3170000}"/>
    <cellStyle name="Nuovo 29 4" xfId="1476" xr:uid="{00000000-0005-0000-0000-0000C4170000}"/>
    <cellStyle name="Nuovo 29 4 2" xfId="1477" xr:uid="{00000000-0005-0000-0000-0000C5170000}"/>
    <cellStyle name="Nuovo 29 4 2 2" xfId="2827" xr:uid="{00000000-0005-0000-0000-0000C6170000}"/>
    <cellStyle name="Nuovo 29 4 3" xfId="2826" xr:uid="{00000000-0005-0000-0000-0000C7170000}"/>
    <cellStyle name="Nuovo 29 5" xfId="1478" xr:uid="{00000000-0005-0000-0000-0000C8170000}"/>
    <cellStyle name="Nuovo 3" xfId="335" xr:uid="{00000000-0005-0000-0000-0000C9170000}"/>
    <cellStyle name="Nuovo 3 2" xfId="571" xr:uid="{00000000-0005-0000-0000-0000CA170000}"/>
    <cellStyle name="Nuovo 3 2 2" xfId="2828" xr:uid="{00000000-0005-0000-0000-0000CB170000}"/>
    <cellStyle name="Nuovo 3 3" xfId="1479" xr:uid="{00000000-0005-0000-0000-0000CC170000}"/>
    <cellStyle name="Nuovo 3 3 2" xfId="1480" xr:uid="{00000000-0005-0000-0000-0000CD170000}"/>
    <cellStyle name="Nuovo 3 3 2 2" xfId="4324" xr:uid="{00000000-0005-0000-0000-0000CE170000}"/>
    <cellStyle name="Nuovo 3 3 2 3" xfId="5356" xr:uid="{00000000-0005-0000-0000-0000CF170000}"/>
    <cellStyle name="Nuovo 3 3 3" xfId="1481" xr:uid="{00000000-0005-0000-0000-0000D0170000}"/>
    <cellStyle name="Nuovo 3 3 3 2" xfId="2830" xr:uid="{00000000-0005-0000-0000-0000D1170000}"/>
    <cellStyle name="Nuovo 3 3 4" xfId="2829" xr:uid="{00000000-0005-0000-0000-0000D2170000}"/>
    <cellStyle name="Nuovo 3 4" xfId="1482" xr:uid="{00000000-0005-0000-0000-0000D3170000}"/>
    <cellStyle name="Nuovo 3 4 2" xfId="1483" xr:uid="{00000000-0005-0000-0000-0000D4170000}"/>
    <cellStyle name="Nuovo 3 4 2 2" xfId="2832" xr:uid="{00000000-0005-0000-0000-0000D5170000}"/>
    <cellStyle name="Nuovo 3 4 3" xfId="2831" xr:uid="{00000000-0005-0000-0000-0000D6170000}"/>
    <cellStyle name="Nuovo 3 5" xfId="1484" xr:uid="{00000000-0005-0000-0000-0000D7170000}"/>
    <cellStyle name="Nuovo 30" xfId="336" xr:uid="{00000000-0005-0000-0000-0000D8170000}"/>
    <cellStyle name="Nuovo 30 2" xfId="572" xr:uid="{00000000-0005-0000-0000-0000D9170000}"/>
    <cellStyle name="Nuovo 30 2 2" xfId="2833" xr:uid="{00000000-0005-0000-0000-0000DA170000}"/>
    <cellStyle name="Nuovo 30 3" xfId="1485" xr:uid="{00000000-0005-0000-0000-0000DB170000}"/>
    <cellStyle name="Nuovo 30 3 2" xfId="1486" xr:uid="{00000000-0005-0000-0000-0000DC170000}"/>
    <cellStyle name="Nuovo 30 3 2 2" xfId="4325" xr:uid="{00000000-0005-0000-0000-0000DD170000}"/>
    <cellStyle name="Nuovo 30 3 2 3" xfId="5357" xr:uid="{00000000-0005-0000-0000-0000DE170000}"/>
    <cellStyle name="Nuovo 30 3 3" xfId="1487" xr:uid="{00000000-0005-0000-0000-0000DF170000}"/>
    <cellStyle name="Nuovo 30 3 3 2" xfId="2835" xr:uid="{00000000-0005-0000-0000-0000E0170000}"/>
    <cellStyle name="Nuovo 30 3 4" xfId="2834" xr:uid="{00000000-0005-0000-0000-0000E1170000}"/>
    <cellStyle name="Nuovo 30 4" xfId="1488" xr:uid="{00000000-0005-0000-0000-0000E2170000}"/>
    <cellStyle name="Nuovo 30 4 2" xfId="1489" xr:uid="{00000000-0005-0000-0000-0000E3170000}"/>
    <cellStyle name="Nuovo 30 4 2 2" xfId="2837" xr:uid="{00000000-0005-0000-0000-0000E4170000}"/>
    <cellStyle name="Nuovo 30 4 3" xfId="2836" xr:uid="{00000000-0005-0000-0000-0000E5170000}"/>
    <cellStyle name="Nuovo 30 5" xfId="1490" xr:uid="{00000000-0005-0000-0000-0000E6170000}"/>
    <cellStyle name="Nuovo 31" xfId="337" xr:uid="{00000000-0005-0000-0000-0000E7170000}"/>
    <cellStyle name="Nuovo 31 2" xfId="573" xr:uid="{00000000-0005-0000-0000-0000E8170000}"/>
    <cellStyle name="Nuovo 31 2 2" xfId="2838" xr:uid="{00000000-0005-0000-0000-0000E9170000}"/>
    <cellStyle name="Nuovo 31 3" xfId="1491" xr:uid="{00000000-0005-0000-0000-0000EA170000}"/>
    <cellStyle name="Nuovo 31 3 2" xfId="1492" xr:uid="{00000000-0005-0000-0000-0000EB170000}"/>
    <cellStyle name="Nuovo 31 3 2 2" xfId="4326" xr:uid="{00000000-0005-0000-0000-0000EC170000}"/>
    <cellStyle name="Nuovo 31 3 2 3" xfId="5358" xr:uid="{00000000-0005-0000-0000-0000ED170000}"/>
    <cellStyle name="Nuovo 31 3 3" xfId="1493" xr:uid="{00000000-0005-0000-0000-0000EE170000}"/>
    <cellStyle name="Nuovo 31 3 3 2" xfId="2840" xr:uid="{00000000-0005-0000-0000-0000EF170000}"/>
    <cellStyle name="Nuovo 31 3 4" xfId="2839" xr:uid="{00000000-0005-0000-0000-0000F0170000}"/>
    <cellStyle name="Nuovo 31 4" xfId="1494" xr:uid="{00000000-0005-0000-0000-0000F1170000}"/>
    <cellStyle name="Nuovo 31 4 2" xfId="1495" xr:uid="{00000000-0005-0000-0000-0000F2170000}"/>
    <cellStyle name="Nuovo 31 4 2 2" xfId="2842" xr:uid="{00000000-0005-0000-0000-0000F3170000}"/>
    <cellStyle name="Nuovo 31 4 3" xfId="2841" xr:uid="{00000000-0005-0000-0000-0000F4170000}"/>
    <cellStyle name="Nuovo 31 5" xfId="1496" xr:uid="{00000000-0005-0000-0000-0000F5170000}"/>
    <cellStyle name="Nuovo 32" xfId="338" xr:uid="{00000000-0005-0000-0000-0000F6170000}"/>
    <cellStyle name="Nuovo 32 2" xfId="574" xr:uid="{00000000-0005-0000-0000-0000F7170000}"/>
    <cellStyle name="Nuovo 32 2 2" xfId="2843" xr:uid="{00000000-0005-0000-0000-0000F8170000}"/>
    <cellStyle name="Nuovo 32 3" xfId="1497" xr:uid="{00000000-0005-0000-0000-0000F9170000}"/>
    <cellStyle name="Nuovo 32 3 2" xfId="1498" xr:uid="{00000000-0005-0000-0000-0000FA170000}"/>
    <cellStyle name="Nuovo 32 3 2 2" xfId="4327" xr:uid="{00000000-0005-0000-0000-0000FB170000}"/>
    <cellStyle name="Nuovo 32 3 2 3" xfId="5359" xr:uid="{00000000-0005-0000-0000-0000FC170000}"/>
    <cellStyle name="Nuovo 32 3 3" xfId="1499" xr:uid="{00000000-0005-0000-0000-0000FD170000}"/>
    <cellStyle name="Nuovo 32 3 3 2" xfId="2845" xr:uid="{00000000-0005-0000-0000-0000FE170000}"/>
    <cellStyle name="Nuovo 32 3 4" xfId="2844" xr:uid="{00000000-0005-0000-0000-0000FF170000}"/>
    <cellStyle name="Nuovo 32 4" xfId="1500" xr:uid="{00000000-0005-0000-0000-000000180000}"/>
    <cellStyle name="Nuovo 32 4 2" xfId="1501" xr:uid="{00000000-0005-0000-0000-000001180000}"/>
    <cellStyle name="Nuovo 32 4 2 2" xfId="2847" xr:uid="{00000000-0005-0000-0000-000002180000}"/>
    <cellStyle name="Nuovo 32 4 3" xfId="2846" xr:uid="{00000000-0005-0000-0000-000003180000}"/>
    <cellStyle name="Nuovo 32 5" xfId="1502" xr:uid="{00000000-0005-0000-0000-000004180000}"/>
    <cellStyle name="Nuovo 33" xfId="339" xr:uid="{00000000-0005-0000-0000-000005180000}"/>
    <cellStyle name="Nuovo 33 2" xfId="575" xr:uid="{00000000-0005-0000-0000-000006180000}"/>
    <cellStyle name="Nuovo 33 2 2" xfId="2848" xr:uid="{00000000-0005-0000-0000-000007180000}"/>
    <cellStyle name="Nuovo 33 3" xfId="1503" xr:uid="{00000000-0005-0000-0000-000008180000}"/>
    <cellStyle name="Nuovo 33 3 2" xfId="1504" xr:uid="{00000000-0005-0000-0000-000009180000}"/>
    <cellStyle name="Nuovo 33 3 2 2" xfId="4328" xr:uid="{00000000-0005-0000-0000-00000A180000}"/>
    <cellStyle name="Nuovo 33 3 2 3" xfId="5360" xr:uid="{00000000-0005-0000-0000-00000B180000}"/>
    <cellStyle name="Nuovo 33 3 3" xfId="1505" xr:uid="{00000000-0005-0000-0000-00000C180000}"/>
    <cellStyle name="Nuovo 33 3 3 2" xfId="2850" xr:uid="{00000000-0005-0000-0000-00000D180000}"/>
    <cellStyle name="Nuovo 33 3 4" xfId="2849" xr:uid="{00000000-0005-0000-0000-00000E180000}"/>
    <cellStyle name="Nuovo 33 4" xfId="1506" xr:uid="{00000000-0005-0000-0000-00000F180000}"/>
    <cellStyle name="Nuovo 33 4 2" xfId="1507" xr:uid="{00000000-0005-0000-0000-000010180000}"/>
    <cellStyle name="Nuovo 33 4 2 2" xfId="2852" xr:uid="{00000000-0005-0000-0000-000011180000}"/>
    <cellStyle name="Nuovo 33 4 3" xfId="2851" xr:uid="{00000000-0005-0000-0000-000012180000}"/>
    <cellStyle name="Nuovo 33 5" xfId="1508" xr:uid="{00000000-0005-0000-0000-000013180000}"/>
    <cellStyle name="Nuovo 34" xfId="340" xr:uid="{00000000-0005-0000-0000-000014180000}"/>
    <cellStyle name="Nuovo 34 2" xfId="576" xr:uid="{00000000-0005-0000-0000-000015180000}"/>
    <cellStyle name="Nuovo 34 2 2" xfId="2853" xr:uid="{00000000-0005-0000-0000-000016180000}"/>
    <cellStyle name="Nuovo 34 3" xfId="1509" xr:uid="{00000000-0005-0000-0000-000017180000}"/>
    <cellStyle name="Nuovo 34 3 2" xfId="1510" xr:uid="{00000000-0005-0000-0000-000018180000}"/>
    <cellStyle name="Nuovo 34 3 2 2" xfId="4329" xr:uid="{00000000-0005-0000-0000-000019180000}"/>
    <cellStyle name="Nuovo 34 3 2 3" xfId="5361" xr:uid="{00000000-0005-0000-0000-00001A180000}"/>
    <cellStyle name="Nuovo 34 3 3" xfId="1511" xr:uid="{00000000-0005-0000-0000-00001B180000}"/>
    <cellStyle name="Nuovo 34 3 3 2" xfId="2855" xr:uid="{00000000-0005-0000-0000-00001C180000}"/>
    <cellStyle name="Nuovo 34 3 4" xfId="2854" xr:uid="{00000000-0005-0000-0000-00001D180000}"/>
    <cellStyle name="Nuovo 34 4" xfId="1512" xr:uid="{00000000-0005-0000-0000-00001E180000}"/>
    <cellStyle name="Nuovo 34 4 2" xfId="1513" xr:uid="{00000000-0005-0000-0000-00001F180000}"/>
    <cellStyle name="Nuovo 34 4 2 2" xfId="2857" xr:uid="{00000000-0005-0000-0000-000020180000}"/>
    <cellStyle name="Nuovo 34 4 3" xfId="2856" xr:uid="{00000000-0005-0000-0000-000021180000}"/>
    <cellStyle name="Nuovo 34 5" xfId="1514" xr:uid="{00000000-0005-0000-0000-000022180000}"/>
    <cellStyle name="Nuovo 35" xfId="341" xr:uid="{00000000-0005-0000-0000-000023180000}"/>
    <cellStyle name="Nuovo 35 2" xfId="577" xr:uid="{00000000-0005-0000-0000-000024180000}"/>
    <cellStyle name="Nuovo 35 2 2" xfId="2858" xr:uid="{00000000-0005-0000-0000-000025180000}"/>
    <cellStyle name="Nuovo 35 3" xfId="1515" xr:uid="{00000000-0005-0000-0000-000026180000}"/>
    <cellStyle name="Nuovo 35 3 2" xfId="1516" xr:uid="{00000000-0005-0000-0000-000027180000}"/>
    <cellStyle name="Nuovo 35 3 2 2" xfId="4330" xr:uid="{00000000-0005-0000-0000-000028180000}"/>
    <cellStyle name="Nuovo 35 3 2 3" xfId="5362" xr:uid="{00000000-0005-0000-0000-000029180000}"/>
    <cellStyle name="Nuovo 35 3 3" xfId="1517" xr:uid="{00000000-0005-0000-0000-00002A180000}"/>
    <cellStyle name="Nuovo 35 3 3 2" xfId="2860" xr:uid="{00000000-0005-0000-0000-00002B180000}"/>
    <cellStyle name="Nuovo 35 3 4" xfId="2859" xr:uid="{00000000-0005-0000-0000-00002C180000}"/>
    <cellStyle name="Nuovo 35 4" xfId="1518" xr:uid="{00000000-0005-0000-0000-00002D180000}"/>
    <cellStyle name="Nuovo 35 4 2" xfId="1519" xr:uid="{00000000-0005-0000-0000-00002E180000}"/>
    <cellStyle name="Nuovo 35 4 2 2" xfId="2862" xr:uid="{00000000-0005-0000-0000-00002F180000}"/>
    <cellStyle name="Nuovo 35 4 3" xfId="2861" xr:uid="{00000000-0005-0000-0000-000030180000}"/>
    <cellStyle name="Nuovo 35 5" xfId="1520" xr:uid="{00000000-0005-0000-0000-000031180000}"/>
    <cellStyle name="Nuovo 36" xfId="342" xr:uid="{00000000-0005-0000-0000-000032180000}"/>
    <cellStyle name="Nuovo 36 2" xfId="578" xr:uid="{00000000-0005-0000-0000-000033180000}"/>
    <cellStyle name="Nuovo 36 2 2" xfId="2863" xr:uid="{00000000-0005-0000-0000-000034180000}"/>
    <cellStyle name="Nuovo 36 3" xfId="1521" xr:uid="{00000000-0005-0000-0000-000035180000}"/>
    <cellStyle name="Nuovo 36 3 2" xfId="1522" xr:uid="{00000000-0005-0000-0000-000036180000}"/>
    <cellStyle name="Nuovo 36 3 2 2" xfId="4331" xr:uid="{00000000-0005-0000-0000-000037180000}"/>
    <cellStyle name="Nuovo 36 3 2 3" xfId="5363" xr:uid="{00000000-0005-0000-0000-000038180000}"/>
    <cellStyle name="Nuovo 36 3 3" xfId="1523" xr:uid="{00000000-0005-0000-0000-000039180000}"/>
    <cellStyle name="Nuovo 36 3 3 2" xfId="2865" xr:uid="{00000000-0005-0000-0000-00003A180000}"/>
    <cellStyle name="Nuovo 36 3 4" xfId="2864" xr:uid="{00000000-0005-0000-0000-00003B180000}"/>
    <cellStyle name="Nuovo 36 4" xfId="1524" xr:uid="{00000000-0005-0000-0000-00003C180000}"/>
    <cellStyle name="Nuovo 36 4 2" xfId="1525" xr:uid="{00000000-0005-0000-0000-00003D180000}"/>
    <cellStyle name="Nuovo 36 4 2 2" xfId="2867" xr:uid="{00000000-0005-0000-0000-00003E180000}"/>
    <cellStyle name="Nuovo 36 4 3" xfId="2866" xr:uid="{00000000-0005-0000-0000-00003F180000}"/>
    <cellStyle name="Nuovo 36 5" xfId="1526" xr:uid="{00000000-0005-0000-0000-000040180000}"/>
    <cellStyle name="Nuovo 37" xfId="343" xr:uid="{00000000-0005-0000-0000-000041180000}"/>
    <cellStyle name="Nuovo 37 2" xfId="579" xr:uid="{00000000-0005-0000-0000-000042180000}"/>
    <cellStyle name="Nuovo 37 2 2" xfId="2868" xr:uid="{00000000-0005-0000-0000-000043180000}"/>
    <cellStyle name="Nuovo 37 3" xfId="1527" xr:uid="{00000000-0005-0000-0000-000044180000}"/>
    <cellStyle name="Nuovo 37 3 2" xfId="1528" xr:uid="{00000000-0005-0000-0000-000045180000}"/>
    <cellStyle name="Nuovo 37 3 2 2" xfId="4332" xr:uid="{00000000-0005-0000-0000-000046180000}"/>
    <cellStyle name="Nuovo 37 3 2 3" xfId="5364" xr:uid="{00000000-0005-0000-0000-000047180000}"/>
    <cellStyle name="Nuovo 37 3 3" xfId="1529" xr:uid="{00000000-0005-0000-0000-000048180000}"/>
    <cellStyle name="Nuovo 37 3 3 2" xfId="2870" xr:uid="{00000000-0005-0000-0000-000049180000}"/>
    <cellStyle name="Nuovo 37 3 4" xfId="2869" xr:uid="{00000000-0005-0000-0000-00004A180000}"/>
    <cellStyle name="Nuovo 37 4" xfId="1530" xr:uid="{00000000-0005-0000-0000-00004B180000}"/>
    <cellStyle name="Nuovo 37 4 2" xfId="1531" xr:uid="{00000000-0005-0000-0000-00004C180000}"/>
    <cellStyle name="Nuovo 37 4 2 2" xfId="2872" xr:uid="{00000000-0005-0000-0000-00004D180000}"/>
    <cellStyle name="Nuovo 37 4 3" xfId="2871" xr:uid="{00000000-0005-0000-0000-00004E180000}"/>
    <cellStyle name="Nuovo 37 5" xfId="1532" xr:uid="{00000000-0005-0000-0000-00004F180000}"/>
    <cellStyle name="Nuovo 38" xfId="344" xr:uid="{00000000-0005-0000-0000-000050180000}"/>
    <cellStyle name="Nuovo 38 2" xfId="580" xr:uid="{00000000-0005-0000-0000-000051180000}"/>
    <cellStyle name="Nuovo 38 2 2" xfId="2873" xr:uid="{00000000-0005-0000-0000-000052180000}"/>
    <cellStyle name="Nuovo 38 3" xfId="1533" xr:uid="{00000000-0005-0000-0000-000053180000}"/>
    <cellStyle name="Nuovo 38 3 2" xfId="1534" xr:uid="{00000000-0005-0000-0000-000054180000}"/>
    <cellStyle name="Nuovo 38 3 2 2" xfId="4333" xr:uid="{00000000-0005-0000-0000-000055180000}"/>
    <cellStyle name="Nuovo 38 3 2 3" xfId="5365" xr:uid="{00000000-0005-0000-0000-000056180000}"/>
    <cellStyle name="Nuovo 38 3 3" xfId="1535" xr:uid="{00000000-0005-0000-0000-000057180000}"/>
    <cellStyle name="Nuovo 38 3 3 2" xfId="2875" xr:uid="{00000000-0005-0000-0000-000058180000}"/>
    <cellStyle name="Nuovo 38 3 4" xfId="2874" xr:uid="{00000000-0005-0000-0000-000059180000}"/>
    <cellStyle name="Nuovo 38 4" xfId="1536" xr:uid="{00000000-0005-0000-0000-00005A180000}"/>
    <cellStyle name="Nuovo 38 4 2" xfId="1537" xr:uid="{00000000-0005-0000-0000-00005B180000}"/>
    <cellStyle name="Nuovo 38 4 2 2" xfId="2877" xr:uid="{00000000-0005-0000-0000-00005C180000}"/>
    <cellStyle name="Nuovo 38 4 3" xfId="2876" xr:uid="{00000000-0005-0000-0000-00005D180000}"/>
    <cellStyle name="Nuovo 38 5" xfId="1538" xr:uid="{00000000-0005-0000-0000-00005E180000}"/>
    <cellStyle name="Nuovo 39" xfId="345" xr:uid="{00000000-0005-0000-0000-00005F180000}"/>
    <cellStyle name="Nuovo 39 2" xfId="581" xr:uid="{00000000-0005-0000-0000-000060180000}"/>
    <cellStyle name="Nuovo 39 2 2" xfId="2878" xr:uid="{00000000-0005-0000-0000-000061180000}"/>
    <cellStyle name="Nuovo 39 3" xfId="1539" xr:uid="{00000000-0005-0000-0000-000062180000}"/>
    <cellStyle name="Nuovo 39 3 2" xfId="1540" xr:uid="{00000000-0005-0000-0000-000063180000}"/>
    <cellStyle name="Nuovo 39 3 2 2" xfId="4334" xr:uid="{00000000-0005-0000-0000-000064180000}"/>
    <cellStyle name="Nuovo 39 3 2 3" xfId="5366" xr:uid="{00000000-0005-0000-0000-000065180000}"/>
    <cellStyle name="Nuovo 39 3 3" xfId="1541" xr:uid="{00000000-0005-0000-0000-000066180000}"/>
    <cellStyle name="Nuovo 39 3 3 2" xfId="2880" xr:uid="{00000000-0005-0000-0000-000067180000}"/>
    <cellStyle name="Nuovo 39 3 4" xfId="2879" xr:uid="{00000000-0005-0000-0000-000068180000}"/>
    <cellStyle name="Nuovo 39 4" xfId="1542" xr:uid="{00000000-0005-0000-0000-000069180000}"/>
    <cellStyle name="Nuovo 39 4 2" xfId="1543" xr:uid="{00000000-0005-0000-0000-00006A180000}"/>
    <cellStyle name="Nuovo 39 4 2 2" xfId="2882" xr:uid="{00000000-0005-0000-0000-00006B180000}"/>
    <cellStyle name="Nuovo 39 4 3" xfId="2881" xr:uid="{00000000-0005-0000-0000-00006C180000}"/>
    <cellStyle name="Nuovo 39 5" xfId="1544" xr:uid="{00000000-0005-0000-0000-00006D180000}"/>
    <cellStyle name="Nuovo 4" xfId="346" xr:uid="{00000000-0005-0000-0000-00006E180000}"/>
    <cellStyle name="Nuovo 4 2" xfId="582" xr:uid="{00000000-0005-0000-0000-00006F180000}"/>
    <cellStyle name="Nuovo 4 2 2" xfId="2883" xr:uid="{00000000-0005-0000-0000-000070180000}"/>
    <cellStyle name="Nuovo 4 3" xfId="1545" xr:uid="{00000000-0005-0000-0000-000071180000}"/>
    <cellStyle name="Nuovo 4 3 2" xfId="1546" xr:uid="{00000000-0005-0000-0000-000072180000}"/>
    <cellStyle name="Nuovo 4 3 2 2" xfId="4335" xr:uid="{00000000-0005-0000-0000-000073180000}"/>
    <cellStyle name="Nuovo 4 3 2 3" xfId="5367" xr:uid="{00000000-0005-0000-0000-000074180000}"/>
    <cellStyle name="Nuovo 4 3 3" xfId="1547" xr:uid="{00000000-0005-0000-0000-000075180000}"/>
    <cellStyle name="Nuovo 4 3 3 2" xfId="2885" xr:uid="{00000000-0005-0000-0000-000076180000}"/>
    <cellStyle name="Nuovo 4 3 4" xfId="2884" xr:uid="{00000000-0005-0000-0000-000077180000}"/>
    <cellStyle name="Nuovo 4 4" xfId="1548" xr:uid="{00000000-0005-0000-0000-000078180000}"/>
    <cellStyle name="Nuovo 4 4 2" xfId="1549" xr:uid="{00000000-0005-0000-0000-000079180000}"/>
    <cellStyle name="Nuovo 4 4 2 2" xfId="2887" xr:uid="{00000000-0005-0000-0000-00007A180000}"/>
    <cellStyle name="Nuovo 4 4 3" xfId="2886" xr:uid="{00000000-0005-0000-0000-00007B180000}"/>
    <cellStyle name="Nuovo 4 5" xfId="1550" xr:uid="{00000000-0005-0000-0000-00007C180000}"/>
    <cellStyle name="Nuovo 40" xfId="347" xr:uid="{00000000-0005-0000-0000-00007D180000}"/>
    <cellStyle name="Nuovo 40 2" xfId="583" xr:uid="{00000000-0005-0000-0000-00007E180000}"/>
    <cellStyle name="Nuovo 40 2 2" xfId="2888" xr:uid="{00000000-0005-0000-0000-00007F180000}"/>
    <cellStyle name="Nuovo 40 3" xfId="1551" xr:uid="{00000000-0005-0000-0000-000080180000}"/>
    <cellStyle name="Nuovo 40 3 2" xfId="1552" xr:uid="{00000000-0005-0000-0000-000081180000}"/>
    <cellStyle name="Nuovo 40 3 2 2" xfId="4336" xr:uid="{00000000-0005-0000-0000-000082180000}"/>
    <cellStyle name="Nuovo 40 3 2 3" xfId="5368" xr:uid="{00000000-0005-0000-0000-000083180000}"/>
    <cellStyle name="Nuovo 40 3 3" xfId="1553" xr:uid="{00000000-0005-0000-0000-000084180000}"/>
    <cellStyle name="Nuovo 40 3 3 2" xfId="2890" xr:uid="{00000000-0005-0000-0000-000085180000}"/>
    <cellStyle name="Nuovo 40 3 4" xfId="2889" xr:uid="{00000000-0005-0000-0000-000086180000}"/>
    <cellStyle name="Nuovo 40 4" xfId="1554" xr:uid="{00000000-0005-0000-0000-000087180000}"/>
    <cellStyle name="Nuovo 40 4 2" xfId="1555" xr:uid="{00000000-0005-0000-0000-000088180000}"/>
    <cellStyle name="Nuovo 40 4 2 2" xfId="2892" xr:uid="{00000000-0005-0000-0000-000089180000}"/>
    <cellStyle name="Nuovo 40 4 3" xfId="2891" xr:uid="{00000000-0005-0000-0000-00008A180000}"/>
    <cellStyle name="Nuovo 40 5" xfId="1556" xr:uid="{00000000-0005-0000-0000-00008B180000}"/>
    <cellStyle name="Nuovo 41" xfId="348" xr:uid="{00000000-0005-0000-0000-00008C180000}"/>
    <cellStyle name="Nuovo 41 2" xfId="584" xr:uid="{00000000-0005-0000-0000-00008D180000}"/>
    <cellStyle name="Nuovo 41 2 2" xfId="2893" xr:uid="{00000000-0005-0000-0000-00008E180000}"/>
    <cellStyle name="Nuovo 41 3" xfId="1557" xr:uid="{00000000-0005-0000-0000-00008F180000}"/>
    <cellStyle name="Nuovo 41 3 2" xfId="1558" xr:uid="{00000000-0005-0000-0000-000090180000}"/>
    <cellStyle name="Nuovo 41 3 2 2" xfId="4337" xr:uid="{00000000-0005-0000-0000-000091180000}"/>
    <cellStyle name="Nuovo 41 3 2 3" xfId="5369" xr:uid="{00000000-0005-0000-0000-000092180000}"/>
    <cellStyle name="Nuovo 41 3 3" xfId="1559" xr:uid="{00000000-0005-0000-0000-000093180000}"/>
    <cellStyle name="Nuovo 41 3 3 2" xfId="2895" xr:uid="{00000000-0005-0000-0000-000094180000}"/>
    <cellStyle name="Nuovo 41 3 4" xfId="2894" xr:uid="{00000000-0005-0000-0000-000095180000}"/>
    <cellStyle name="Nuovo 41 4" xfId="1560" xr:uid="{00000000-0005-0000-0000-000096180000}"/>
    <cellStyle name="Nuovo 41 4 2" xfId="1561" xr:uid="{00000000-0005-0000-0000-000097180000}"/>
    <cellStyle name="Nuovo 41 4 2 2" xfId="2897" xr:uid="{00000000-0005-0000-0000-000098180000}"/>
    <cellStyle name="Nuovo 41 4 3" xfId="2896" xr:uid="{00000000-0005-0000-0000-000099180000}"/>
    <cellStyle name="Nuovo 41 5" xfId="1562" xr:uid="{00000000-0005-0000-0000-00009A180000}"/>
    <cellStyle name="Nuovo 42" xfId="349" xr:uid="{00000000-0005-0000-0000-00009B180000}"/>
    <cellStyle name="Nuovo 42 2" xfId="585" xr:uid="{00000000-0005-0000-0000-00009C180000}"/>
    <cellStyle name="Nuovo 42 2 2" xfId="2898" xr:uid="{00000000-0005-0000-0000-00009D180000}"/>
    <cellStyle name="Nuovo 42 3" xfId="1563" xr:uid="{00000000-0005-0000-0000-00009E180000}"/>
    <cellStyle name="Nuovo 42 3 2" xfId="1564" xr:uid="{00000000-0005-0000-0000-00009F180000}"/>
    <cellStyle name="Nuovo 42 3 2 2" xfId="4338" xr:uid="{00000000-0005-0000-0000-0000A0180000}"/>
    <cellStyle name="Nuovo 42 3 2 3" xfId="5370" xr:uid="{00000000-0005-0000-0000-0000A1180000}"/>
    <cellStyle name="Nuovo 42 3 3" xfId="1565" xr:uid="{00000000-0005-0000-0000-0000A2180000}"/>
    <cellStyle name="Nuovo 42 3 3 2" xfId="2900" xr:uid="{00000000-0005-0000-0000-0000A3180000}"/>
    <cellStyle name="Nuovo 42 3 4" xfId="2899" xr:uid="{00000000-0005-0000-0000-0000A4180000}"/>
    <cellStyle name="Nuovo 42 4" xfId="1566" xr:uid="{00000000-0005-0000-0000-0000A5180000}"/>
    <cellStyle name="Nuovo 42 4 2" xfId="1567" xr:uid="{00000000-0005-0000-0000-0000A6180000}"/>
    <cellStyle name="Nuovo 42 4 2 2" xfId="2902" xr:uid="{00000000-0005-0000-0000-0000A7180000}"/>
    <cellStyle name="Nuovo 42 4 3" xfId="2901" xr:uid="{00000000-0005-0000-0000-0000A8180000}"/>
    <cellStyle name="Nuovo 42 5" xfId="1568" xr:uid="{00000000-0005-0000-0000-0000A9180000}"/>
    <cellStyle name="Nuovo 43" xfId="350" xr:uid="{00000000-0005-0000-0000-0000AA180000}"/>
    <cellStyle name="Nuovo 43 2" xfId="586" xr:uid="{00000000-0005-0000-0000-0000AB180000}"/>
    <cellStyle name="Nuovo 43 2 2" xfId="2903" xr:uid="{00000000-0005-0000-0000-0000AC180000}"/>
    <cellStyle name="Nuovo 43 3" xfId="1569" xr:uid="{00000000-0005-0000-0000-0000AD180000}"/>
    <cellStyle name="Nuovo 43 3 2" xfId="1570" xr:uid="{00000000-0005-0000-0000-0000AE180000}"/>
    <cellStyle name="Nuovo 43 3 2 2" xfId="4339" xr:uid="{00000000-0005-0000-0000-0000AF180000}"/>
    <cellStyle name="Nuovo 43 3 2 3" xfId="5371" xr:uid="{00000000-0005-0000-0000-0000B0180000}"/>
    <cellStyle name="Nuovo 43 3 3" xfId="1571" xr:uid="{00000000-0005-0000-0000-0000B1180000}"/>
    <cellStyle name="Nuovo 43 3 3 2" xfId="2905" xr:uid="{00000000-0005-0000-0000-0000B2180000}"/>
    <cellStyle name="Nuovo 43 3 4" xfId="2904" xr:uid="{00000000-0005-0000-0000-0000B3180000}"/>
    <cellStyle name="Nuovo 43 4" xfId="1572" xr:uid="{00000000-0005-0000-0000-0000B4180000}"/>
    <cellStyle name="Nuovo 43 4 2" xfId="1573" xr:uid="{00000000-0005-0000-0000-0000B5180000}"/>
    <cellStyle name="Nuovo 43 4 2 2" xfId="2907" xr:uid="{00000000-0005-0000-0000-0000B6180000}"/>
    <cellStyle name="Nuovo 43 4 3" xfId="2906" xr:uid="{00000000-0005-0000-0000-0000B7180000}"/>
    <cellStyle name="Nuovo 43 5" xfId="1574" xr:uid="{00000000-0005-0000-0000-0000B8180000}"/>
    <cellStyle name="Nuovo 44" xfId="351" xr:uid="{00000000-0005-0000-0000-0000B9180000}"/>
    <cellStyle name="Nuovo 44 2" xfId="587" xr:uid="{00000000-0005-0000-0000-0000BA180000}"/>
    <cellStyle name="Nuovo 44 2 2" xfId="2908" xr:uid="{00000000-0005-0000-0000-0000BB180000}"/>
    <cellStyle name="Nuovo 44 3" xfId="1575" xr:uid="{00000000-0005-0000-0000-0000BC180000}"/>
    <cellStyle name="Nuovo 44 3 2" xfId="1576" xr:uid="{00000000-0005-0000-0000-0000BD180000}"/>
    <cellStyle name="Nuovo 44 3 2 2" xfId="4340" xr:uid="{00000000-0005-0000-0000-0000BE180000}"/>
    <cellStyle name="Nuovo 44 3 2 3" xfId="5372" xr:uid="{00000000-0005-0000-0000-0000BF180000}"/>
    <cellStyle name="Nuovo 44 3 3" xfId="1577" xr:uid="{00000000-0005-0000-0000-0000C0180000}"/>
    <cellStyle name="Nuovo 44 3 3 2" xfId="2910" xr:uid="{00000000-0005-0000-0000-0000C1180000}"/>
    <cellStyle name="Nuovo 44 3 4" xfId="2909" xr:uid="{00000000-0005-0000-0000-0000C2180000}"/>
    <cellStyle name="Nuovo 44 4" xfId="1578" xr:uid="{00000000-0005-0000-0000-0000C3180000}"/>
    <cellStyle name="Nuovo 44 4 2" xfId="1579" xr:uid="{00000000-0005-0000-0000-0000C4180000}"/>
    <cellStyle name="Nuovo 44 4 2 2" xfId="2912" xr:uid="{00000000-0005-0000-0000-0000C5180000}"/>
    <cellStyle name="Nuovo 44 4 3" xfId="2911" xr:uid="{00000000-0005-0000-0000-0000C6180000}"/>
    <cellStyle name="Nuovo 44 5" xfId="1580" xr:uid="{00000000-0005-0000-0000-0000C7180000}"/>
    <cellStyle name="Nuovo 45" xfId="549" xr:uid="{00000000-0005-0000-0000-0000C8180000}"/>
    <cellStyle name="Nuovo 45 2" xfId="2913" xr:uid="{00000000-0005-0000-0000-0000C9180000}"/>
    <cellStyle name="Nuovo 46" xfId="1581" xr:uid="{00000000-0005-0000-0000-0000CA180000}"/>
    <cellStyle name="Nuovo 46 2" xfId="1582" xr:uid="{00000000-0005-0000-0000-0000CB180000}"/>
    <cellStyle name="Nuovo 46 2 2" xfId="4341" xr:uid="{00000000-0005-0000-0000-0000CC180000}"/>
    <cellStyle name="Nuovo 46 2 3" xfId="5373" xr:uid="{00000000-0005-0000-0000-0000CD180000}"/>
    <cellStyle name="Nuovo 46 3" xfId="1583" xr:uid="{00000000-0005-0000-0000-0000CE180000}"/>
    <cellStyle name="Nuovo 46 3 2" xfId="2915" xr:uid="{00000000-0005-0000-0000-0000CF180000}"/>
    <cellStyle name="Nuovo 46 4" xfId="2914" xr:uid="{00000000-0005-0000-0000-0000D0180000}"/>
    <cellStyle name="Nuovo 47" xfId="1584" xr:uid="{00000000-0005-0000-0000-0000D1180000}"/>
    <cellStyle name="Nuovo 47 2" xfId="1585" xr:uid="{00000000-0005-0000-0000-0000D2180000}"/>
    <cellStyle name="Nuovo 47 2 2" xfId="2917" xr:uid="{00000000-0005-0000-0000-0000D3180000}"/>
    <cellStyle name="Nuovo 47 3" xfId="2916" xr:uid="{00000000-0005-0000-0000-0000D4180000}"/>
    <cellStyle name="Nuovo 48" xfId="1586" xr:uid="{00000000-0005-0000-0000-0000D5180000}"/>
    <cellStyle name="Nuovo 5" xfId="352" xr:uid="{00000000-0005-0000-0000-0000D6180000}"/>
    <cellStyle name="Nuovo 5 2" xfId="588" xr:uid="{00000000-0005-0000-0000-0000D7180000}"/>
    <cellStyle name="Nuovo 5 2 2" xfId="2918" xr:uid="{00000000-0005-0000-0000-0000D8180000}"/>
    <cellStyle name="Nuovo 5 3" xfId="1587" xr:uid="{00000000-0005-0000-0000-0000D9180000}"/>
    <cellStyle name="Nuovo 5 3 2" xfId="1588" xr:uid="{00000000-0005-0000-0000-0000DA180000}"/>
    <cellStyle name="Nuovo 5 3 2 2" xfId="4342" xr:uid="{00000000-0005-0000-0000-0000DB180000}"/>
    <cellStyle name="Nuovo 5 3 2 3" xfId="5374" xr:uid="{00000000-0005-0000-0000-0000DC180000}"/>
    <cellStyle name="Nuovo 5 3 3" xfId="1589" xr:uid="{00000000-0005-0000-0000-0000DD180000}"/>
    <cellStyle name="Nuovo 5 3 3 2" xfId="2920" xr:uid="{00000000-0005-0000-0000-0000DE180000}"/>
    <cellStyle name="Nuovo 5 3 4" xfId="2919" xr:uid="{00000000-0005-0000-0000-0000DF180000}"/>
    <cellStyle name="Nuovo 5 4" xfId="1590" xr:uid="{00000000-0005-0000-0000-0000E0180000}"/>
    <cellStyle name="Nuovo 5 4 2" xfId="1591" xr:uid="{00000000-0005-0000-0000-0000E1180000}"/>
    <cellStyle name="Nuovo 5 4 2 2" xfId="2922" xr:uid="{00000000-0005-0000-0000-0000E2180000}"/>
    <cellStyle name="Nuovo 5 4 3" xfId="2921" xr:uid="{00000000-0005-0000-0000-0000E3180000}"/>
    <cellStyle name="Nuovo 5 5" xfId="1592" xr:uid="{00000000-0005-0000-0000-0000E4180000}"/>
    <cellStyle name="Nuovo 6" xfId="353" xr:uid="{00000000-0005-0000-0000-0000E5180000}"/>
    <cellStyle name="Nuovo 6 2" xfId="589" xr:uid="{00000000-0005-0000-0000-0000E6180000}"/>
    <cellStyle name="Nuovo 6 2 2" xfId="2923" xr:uid="{00000000-0005-0000-0000-0000E7180000}"/>
    <cellStyle name="Nuovo 6 3" xfId="1593" xr:uid="{00000000-0005-0000-0000-0000E8180000}"/>
    <cellStyle name="Nuovo 6 3 2" xfId="1594" xr:uid="{00000000-0005-0000-0000-0000E9180000}"/>
    <cellStyle name="Nuovo 6 3 2 2" xfId="4343" xr:uid="{00000000-0005-0000-0000-0000EA180000}"/>
    <cellStyle name="Nuovo 6 3 2 3" xfId="5375" xr:uid="{00000000-0005-0000-0000-0000EB180000}"/>
    <cellStyle name="Nuovo 6 3 3" xfId="1595" xr:uid="{00000000-0005-0000-0000-0000EC180000}"/>
    <cellStyle name="Nuovo 6 3 3 2" xfId="2925" xr:uid="{00000000-0005-0000-0000-0000ED180000}"/>
    <cellStyle name="Nuovo 6 3 4" xfId="2924" xr:uid="{00000000-0005-0000-0000-0000EE180000}"/>
    <cellStyle name="Nuovo 6 4" xfId="1596" xr:uid="{00000000-0005-0000-0000-0000EF180000}"/>
    <cellStyle name="Nuovo 6 4 2" xfId="1597" xr:uid="{00000000-0005-0000-0000-0000F0180000}"/>
    <cellStyle name="Nuovo 6 4 2 2" xfId="2927" xr:uid="{00000000-0005-0000-0000-0000F1180000}"/>
    <cellStyle name="Nuovo 6 4 3" xfId="2926" xr:uid="{00000000-0005-0000-0000-0000F2180000}"/>
    <cellStyle name="Nuovo 6 5" xfId="1598" xr:uid="{00000000-0005-0000-0000-0000F3180000}"/>
    <cellStyle name="Nuovo 7" xfId="354" xr:uid="{00000000-0005-0000-0000-0000F4180000}"/>
    <cellStyle name="Nuovo 7 2" xfId="590" xr:uid="{00000000-0005-0000-0000-0000F5180000}"/>
    <cellStyle name="Nuovo 7 2 2" xfId="2928" xr:uid="{00000000-0005-0000-0000-0000F6180000}"/>
    <cellStyle name="Nuovo 7 3" xfId="1599" xr:uid="{00000000-0005-0000-0000-0000F7180000}"/>
    <cellStyle name="Nuovo 7 3 2" xfId="1600" xr:uid="{00000000-0005-0000-0000-0000F8180000}"/>
    <cellStyle name="Nuovo 7 3 2 2" xfId="4344" xr:uid="{00000000-0005-0000-0000-0000F9180000}"/>
    <cellStyle name="Nuovo 7 3 2 3" xfId="5376" xr:uid="{00000000-0005-0000-0000-0000FA180000}"/>
    <cellStyle name="Nuovo 7 3 3" xfId="1601" xr:uid="{00000000-0005-0000-0000-0000FB180000}"/>
    <cellStyle name="Nuovo 7 3 3 2" xfId="2930" xr:uid="{00000000-0005-0000-0000-0000FC180000}"/>
    <cellStyle name="Nuovo 7 3 4" xfId="2929" xr:uid="{00000000-0005-0000-0000-0000FD180000}"/>
    <cellStyle name="Nuovo 7 4" xfId="1602" xr:uid="{00000000-0005-0000-0000-0000FE180000}"/>
    <cellStyle name="Nuovo 7 4 2" xfId="1603" xr:uid="{00000000-0005-0000-0000-0000FF180000}"/>
    <cellStyle name="Nuovo 7 4 2 2" xfId="2932" xr:uid="{00000000-0005-0000-0000-000000190000}"/>
    <cellStyle name="Nuovo 7 4 3" xfId="2931" xr:uid="{00000000-0005-0000-0000-000001190000}"/>
    <cellStyle name="Nuovo 7 5" xfId="1604" xr:uid="{00000000-0005-0000-0000-000002190000}"/>
    <cellStyle name="Nuovo 8" xfId="355" xr:uid="{00000000-0005-0000-0000-000003190000}"/>
    <cellStyle name="Nuovo 8 2" xfId="591" xr:uid="{00000000-0005-0000-0000-000004190000}"/>
    <cellStyle name="Nuovo 8 2 2" xfId="2933" xr:uid="{00000000-0005-0000-0000-000005190000}"/>
    <cellStyle name="Nuovo 8 3" xfId="1605" xr:uid="{00000000-0005-0000-0000-000006190000}"/>
    <cellStyle name="Nuovo 8 3 2" xfId="1606" xr:uid="{00000000-0005-0000-0000-000007190000}"/>
    <cellStyle name="Nuovo 8 3 2 2" xfId="4345" xr:uid="{00000000-0005-0000-0000-000008190000}"/>
    <cellStyle name="Nuovo 8 3 2 3" xfId="5377" xr:uid="{00000000-0005-0000-0000-000009190000}"/>
    <cellStyle name="Nuovo 8 3 3" xfId="1607" xr:uid="{00000000-0005-0000-0000-00000A190000}"/>
    <cellStyle name="Nuovo 8 3 3 2" xfId="2935" xr:uid="{00000000-0005-0000-0000-00000B190000}"/>
    <cellStyle name="Nuovo 8 3 4" xfId="2934" xr:uid="{00000000-0005-0000-0000-00000C190000}"/>
    <cellStyle name="Nuovo 8 4" xfId="1608" xr:uid="{00000000-0005-0000-0000-00000D190000}"/>
    <cellStyle name="Nuovo 8 4 2" xfId="1609" xr:uid="{00000000-0005-0000-0000-00000E190000}"/>
    <cellStyle name="Nuovo 8 4 2 2" xfId="2937" xr:uid="{00000000-0005-0000-0000-00000F190000}"/>
    <cellStyle name="Nuovo 8 4 3" xfId="2936" xr:uid="{00000000-0005-0000-0000-000010190000}"/>
    <cellStyle name="Nuovo 8 5" xfId="1610" xr:uid="{00000000-0005-0000-0000-000011190000}"/>
    <cellStyle name="Nuovo 9" xfId="356" xr:uid="{00000000-0005-0000-0000-000012190000}"/>
    <cellStyle name="Nuovo 9 2" xfId="592" xr:uid="{00000000-0005-0000-0000-000013190000}"/>
    <cellStyle name="Nuovo 9 2 2" xfId="2938" xr:uid="{00000000-0005-0000-0000-000014190000}"/>
    <cellStyle name="Nuovo 9 3" xfId="1611" xr:uid="{00000000-0005-0000-0000-000015190000}"/>
    <cellStyle name="Nuovo 9 3 2" xfId="1612" xr:uid="{00000000-0005-0000-0000-000016190000}"/>
    <cellStyle name="Nuovo 9 3 2 2" xfId="4346" xr:uid="{00000000-0005-0000-0000-000017190000}"/>
    <cellStyle name="Nuovo 9 3 2 3" xfId="5378" xr:uid="{00000000-0005-0000-0000-000018190000}"/>
    <cellStyle name="Nuovo 9 3 3" xfId="1613" xr:uid="{00000000-0005-0000-0000-000019190000}"/>
    <cellStyle name="Nuovo 9 3 3 2" xfId="2940" xr:uid="{00000000-0005-0000-0000-00001A190000}"/>
    <cellStyle name="Nuovo 9 3 4" xfId="2939" xr:uid="{00000000-0005-0000-0000-00001B190000}"/>
    <cellStyle name="Nuovo 9 4" xfId="1614" xr:uid="{00000000-0005-0000-0000-00001C190000}"/>
    <cellStyle name="Nuovo 9 4 2" xfId="1615" xr:uid="{00000000-0005-0000-0000-00001D190000}"/>
    <cellStyle name="Nuovo 9 4 2 2" xfId="2942" xr:uid="{00000000-0005-0000-0000-00001E190000}"/>
    <cellStyle name="Nuovo 9 4 3" xfId="2941" xr:uid="{00000000-0005-0000-0000-00001F190000}"/>
    <cellStyle name="Nuovo 9 5" xfId="1616" xr:uid="{00000000-0005-0000-0000-000020190000}"/>
    <cellStyle name="Output 2" xfId="357" xr:uid="{00000000-0005-0000-0000-000021190000}"/>
    <cellStyle name="Output 2 2" xfId="4347" xr:uid="{00000000-0005-0000-0000-000022190000}"/>
    <cellStyle name="Output 2 2 2" xfId="4348" xr:uid="{00000000-0005-0000-0000-000023190000}"/>
    <cellStyle name="Output 2 2 2 2" xfId="7648" xr:uid="{00000000-0005-0000-0000-000024190000}"/>
    <cellStyle name="Output 2 2 3" xfId="7649" xr:uid="{00000000-0005-0000-0000-000025190000}"/>
    <cellStyle name="Output 2 3" xfId="4349" xr:uid="{00000000-0005-0000-0000-000026190000}"/>
    <cellStyle name="Output 2 3 2" xfId="7647" xr:uid="{00000000-0005-0000-0000-000027190000}"/>
    <cellStyle name="Output 2 4" xfId="7650" xr:uid="{00000000-0005-0000-0000-000028190000}"/>
    <cellStyle name="Output 3" xfId="1617" xr:uid="{00000000-0005-0000-0000-000029190000}"/>
    <cellStyle name="Output 3 2" xfId="4350" xr:uid="{00000000-0005-0000-0000-00002A190000}"/>
    <cellStyle name="Output 3 2 2" xfId="7645" xr:uid="{00000000-0005-0000-0000-00002B190000}"/>
    <cellStyle name="Output 3 3" xfId="4351" xr:uid="{00000000-0005-0000-0000-00002C190000}"/>
    <cellStyle name="Output 3 4" xfId="7646" xr:uid="{00000000-0005-0000-0000-00002D190000}"/>
    <cellStyle name="Overskrift 1 2" xfId="1618" xr:uid="{00000000-0005-0000-0000-00002E190000}"/>
    <cellStyle name="Overskrift 2 2" xfId="1619" xr:uid="{00000000-0005-0000-0000-00002F190000}"/>
    <cellStyle name="Overskrift 3 2" xfId="1620" xr:uid="{00000000-0005-0000-0000-000030190000}"/>
    <cellStyle name="Overskrift 4 2" xfId="1621" xr:uid="{00000000-0005-0000-0000-000031190000}"/>
    <cellStyle name="Percen - Type1" xfId="9" xr:uid="{00000000-0005-0000-0000-000032190000}"/>
    <cellStyle name="Percent" xfId="436" builtinId="5"/>
    <cellStyle name="Percent 2" xfId="10" xr:uid="{00000000-0005-0000-0000-000034190000}"/>
    <cellStyle name="Percent 2 2" xfId="2943" xr:uid="{00000000-0005-0000-0000-000035190000}"/>
    <cellStyle name="Percent 2 2 2" xfId="4352" xr:uid="{00000000-0005-0000-0000-000036190000}"/>
    <cellStyle name="Percent 2 2 3" xfId="4353" xr:uid="{00000000-0005-0000-0000-000037190000}"/>
    <cellStyle name="Percent 2 2 3 2" xfId="4354" xr:uid="{00000000-0005-0000-0000-000038190000}"/>
    <cellStyle name="Percent 2 2 3 2 2" xfId="6378" xr:uid="{00000000-0005-0000-0000-000039190000}"/>
    <cellStyle name="Percent 2 2 3 2 3" xfId="7323" xr:uid="{00000000-0005-0000-0000-00003A190000}"/>
    <cellStyle name="Percent 2 2 3 2 4" xfId="7456" xr:uid="{00000000-0005-0000-0000-00003B190000}"/>
    <cellStyle name="Percent 2 2 3 3" xfId="6377" xr:uid="{00000000-0005-0000-0000-00003C190000}"/>
    <cellStyle name="Percent 2 2 3 4" xfId="7322" xr:uid="{00000000-0005-0000-0000-00003D190000}"/>
    <cellStyle name="Percent 2 2 3 5" xfId="7455" xr:uid="{00000000-0005-0000-0000-00003E190000}"/>
    <cellStyle name="Percent 2 2 4" xfId="4355" xr:uid="{00000000-0005-0000-0000-00003F190000}"/>
    <cellStyle name="Percent 2 2 4 2" xfId="6379" xr:uid="{00000000-0005-0000-0000-000040190000}"/>
    <cellStyle name="Percent 2 2 4 3" xfId="7324" xr:uid="{00000000-0005-0000-0000-000041190000}"/>
    <cellStyle name="Percent 2 2 4 4" xfId="7457" xr:uid="{00000000-0005-0000-0000-000042190000}"/>
    <cellStyle name="Percent 2 2 5" xfId="6376" xr:uid="{00000000-0005-0000-0000-000043190000}"/>
    <cellStyle name="Percent 2 2 6" xfId="7321" xr:uid="{00000000-0005-0000-0000-000044190000}"/>
    <cellStyle name="Percent 2 2 7" xfId="7454" xr:uid="{00000000-0005-0000-0000-000045190000}"/>
    <cellStyle name="Percent 2 3" xfId="4356" xr:uid="{00000000-0005-0000-0000-000046190000}"/>
    <cellStyle name="Percent 2 3 2" xfId="4357" xr:uid="{00000000-0005-0000-0000-000047190000}"/>
    <cellStyle name="Percent 2 3 2 2" xfId="6381" xr:uid="{00000000-0005-0000-0000-000048190000}"/>
    <cellStyle name="Percent 2 3 2 3" xfId="7326" xr:uid="{00000000-0005-0000-0000-000049190000}"/>
    <cellStyle name="Percent 2 3 2 4" xfId="7459" xr:uid="{00000000-0005-0000-0000-00004A190000}"/>
    <cellStyle name="Percent 2 3 3" xfId="6380" xr:uid="{00000000-0005-0000-0000-00004B190000}"/>
    <cellStyle name="Percent 2 3 4" xfId="7325" xr:uid="{00000000-0005-0000-0000-00004C190000}"/>
    <cellStyle name="Percent 2 3 5" xfId="7458" xr:uid="{00000000-0005-0000-0000-00004D190000}"/>
    <cellStyle name="Percent 3" xfId="358" xr:uid="{00000000-0005-0000-0000-00004E190000}"/>
    <cellStyle name="Percent 3 2" xfId="593" xr:uid="{00000000-0005-0000-0000-00004F190000}"/>
    <cellStyle name="Percent 3 2 2" xfId="1623" xr:uid="{00000000-0005-0000-0000-000050190000}"/>
    <cellStyle name="Percent 3 2 3" xfId="4358" xr:uid="{00000000-0005-0000-0000-000051190000}"/>
    <cellStyle name="Percent 3 3" xfId="1624" xr:uid="{00000000-0005-0000-0000-000052190000}"/>
    <cellStyle name="Percent 3 3 2" xfId="1625" xr:uid="{00000000-0005-0000-0000-000053190000}"/>
    <cellStyle name="Percent 3 3 2 2" xfId="4359" xr:uid="{00000000-0005-0000-0000-000054190000}"/>
    <cellStyle name="Percent 3 3 2 3" xfId="5379" xr:uid="{00000000-0005-0000-0000-000055190000}"/>
    <cellStyle name="Percent 3 3 3" xfId="1626" xr:uid="{00000000-0005-0000-0000-000056190000}"/>
    <cellStyle name="Percent 3 3 3 2" xfId="2945" xr:uid="{00000000-0005-0000-0000-000057190000}"/>
    <cellStyle name="Percent 3 3 4" xfId="2944" xr:uid="{00000000-0005-0000-0000-000058190000}"/>
    <cellStyle name="Percent 3 4" xfId="1627" xr:uid="{00000000-0005-0000-0000-000059190000}"/>
    <cellStyle name="Percent 3 4 2" xfId="4360" xr:uid="{00000000-0005-0000-0000-00005A190000}"/>
    <cellStyle name="Percent 3 4 3" xfId="5380" xr:uid="{00000000-0005-0000-0000-00005B190000}"/>
    <cellStyle name="Percent 3 5" xfId="1628" xr:uid="{00000000-0005-0000-0000-00005C190000}"/>
    <cellStyle name="Percent 3 5 2" xfId="2946" xr:uid="{00000000-0005-0000-0000-00005D190000}"/>
    <cellStyle name="Percent 3 6" xfId="1622" xr:uid="{00000000-0005-0000-0000-00005E190000}"/>
    <cellStyle name="Percent 4" xfId="1629" xr:uid="{00000000-0005-0000-0000-00005F190000}"/>
    <cellStyle name="Percent 4 2" xfId="1630" xr:uid="{00000000-0005-0000-0000-000060190000}"/>
    <cellStyle name="Percent 4 2 2" xfId="2948" xr:uid="{00000000-0005-0000-0000-000061190000}"/>
    <cellStyle name="Percent 4 3" xfId="2947" xr:uid="{00000000-0005-0000-0000-000062190000}"/>
    <cellStyle name="Percent 5" xfId="1631" xr:uid="{00000000-0005-0000-0000-000063190000}"/>
    <cellStyle name="Percent 6" xfId="4361" xr:uid="{00000000-0005-0000-0000-000064190000}"/>
    <cellStyle name="Percent 6 2" xfId="6439" xr:uid="{00000000-0005-0000-0000-000065190000}"/>
    <cellStyle name="Percent 6 3" xfId="7332" xr:uid="{00000000-0005-0000-0000-000066190000}"/>
    <cellStyle name="Percent 6 4" xfId="7465" xr:uid="{00000000-0005-0000-0000-000067190000}"/>
    <cellStyle name="Percentuale 10" xfId="359" xr:uid="{00000000-0005-0000-0000-000068190000}"/>
    <cellStyle name="Percentuale 10 2" xfId="594" xr:uid="{00000000-0005-0000-0000-000069190000}"/>
    <cellStyle name="Percentuale 10 2 2" xfId="2949" xr:uid="{00000000-0005-0000-0000-00006A190000}"/>
    <cellStyle name="Percentuale 10 3" xfId="1632" xr:uid="{00000000-0005-0000-0000-00006B190000}"/>
    <cellStyle name="Percentuale 10 3 2" xfId="1633" xr:uid="{00000000-0005-0000-0000-00006C190000}"/>
    <cellStyle name="Percentuale 10 3 2 2" xfId="4362" xr:uid="{00000000-0005-0000-0000-00006D190000}"/>
    <cellStyle name="Percentuale 10 3 2 3" xfId="5381" xr:uid="{00000000-0005-0000-0000-00006E190000}"/>
    <cellStyle name="Percentuale 10 3 3" xfId="1634" xr:uid="{00000000-0005-0000-0000-00006F190000}"/>
    <cellStyle name="Percentuale 10 3 3 2" xfId="2951" xr:uid="{00000000-0005-0000-0000-000070190000}"/>
    <cellStyle name="Percentuale 10 3 4" xfId="2950" xr:uid="{00000000-0005-0000-0000-000071190000}"/>
    <cellStyle name="Percentuale 10 4" xfId="1635" xr:uid="{00000000-0005-0000-0000-000072190000}"/>
    <cellStyle name="Percentuale 10 4 2" xfId="1636" xr:uid="{00000000-0005-0000-0000-000073190000}"/>
    <cellStyle name="Percentuale 10 4 2 2" xfId="2953" xr:uid="{00000000-0005-0000-0000-000074190000}"/>
    <cellStyle name="Percentuale 10 4 3" xfId="2952" xr:uid="{00000000-0005-0000-0000-000075190000}"/>
    <cellStyle name="Percentuale 10 5" xfId="1637" xr:uid="{00000000-0005-0000-0000-000076190000}"/>
    <cellStyle name="Percentuale 11" xfId="360" xr:uid="{00000000-0005-0000-0000-000077190000}"/>
    <cellStyle name="Percentuale 11 2" xfId="595" xr:uid="{00000000-0005-0000-0000-000078190000}"/>
    <cellStyle name="Percentuale 11 2 2" xfId="2954" xr:uid="{00000000-0005-0000-0000-000079190000}"/>
    <cellStyle name="Percentuale 11 3" xfId="1638" xr:uid="{00000000-0005-0000-0000-00007A190000}"/>
    <cellStyle name="Percentuale 11 3 2" xfId="1639" xr:uid="{00000000-0005-0000-0000-00007B190000}"/>
    <cellStyle name="Percentuale 11 3 2 2" xfId="4363" xr:uid="{00000000-0005-0000-0000-00007C190000}"/>
    <cellStyle name="Percentuale 11 3 2 3" xfId="5382" xr:uid="{00000000-0005-0000-0000-00007D190000}"/>
    <cellStyle name="Percentuale 11 3 3" xfId="1640" xr:uid="{00000000-0005-0000-0000-00007E190000}"/>
    <cellStyle name="Percentuale 11 3 3 2" xfId="2956" xr:uid="{00000000-0005-0000-0000-00007F190000}"/>
    <cellStyle name="Percentuale 11 3 4" xfId="2955" xr:uid="{00000000-0005-0000-0000-000080190000}"/>
    <cellStyle name="Percentuale 11 4" xfId="1641" xr:uid="{00000000-0005-0000-0000-000081190000}"/>
    <cellStyle name="Percentuale 11 4 2" xfId="1642" xr:uid="{00000000-0005-0000-0000-000082190000}"/>
    <cellStyle name="Percentuale 11 4 2 2" xfId="2958" xr:uid="{00000000-0005-0000-0000-000083190000}"/>
    <cellStyle name="Percentuale 11 4 3" xfId="2957" xr:uid="{00000000-0005-0000-0000-000084190000}"/>
    <cellStyle name="Percentuale 11 5" xfId="1643" xr:uid="{00000000-0005-0000-0000-000085190000}"/>
    <cellStyle name="Percentuale 12" xfId="361" xr:uid="{00000000-0005-0000-0000-000086190000}"/>
    <cellStyle name="Percentuale 12 2" xfId="596" xr:uid="{00000000-0005-0000-0000-000087190000}"/>
    <cellStyle name="Percentuale 12 2 2" xfId="2959" xr:uid="{00000000-0005-0000-0000-000088190000}"/>
    <cellStyle name="Percentuale 12 3" xfId="1644" xr:uid="{00000000-0005-0000-0000-000089190000}"/>
    <cellStyle name="Percentuale 12 3 2" xfId="1645" xr:uid="{00000000-0005-0000-0000-00008A190000}"/>
    <cellStyle name="Percentuale 12 3 2 2" xfId="4364" xr:uid="{00000000-0005-0000-0000-00008B190000}"/>
    <cellStyle name="Percentuale 12 3 2 3" xfId="5383" xr:uid="{00000000-0005-0000-0000-00008C190000}"/>
    <cellStyle name="Percentuale 12 3 3" xfId="1646" xr:uid="{00000000-0005-0000-0000-00008D190000}"/>
    <cellStyle name="Percentuale 12 3 3 2" xfId="2961" xr:uid="{00000000-0005-0000-0000-00008E190000}"/>
    <cellStyle name="Percentuale 12 3 4" xfId="2960" xr:uid="{00000000-0005-0000-0000-00008F190000}"/>
    <cellStyle name="Percentuale 12 4" xfId="1647" xr:uid="{00000000-0005-0000-0000-000090190000}"/>
    <cellStyle name="Percentuale 12 4 2" xfId="1648" xr:uid="{00000000-0005-0000-0000-000091190000}"/>
    <cellStyle name="Percentuale 12 4 2 2" xfId="2963" xr:uid="{00000000-0005-0000-0000-000092190000}"/>
    <cellStyle name="Percentuale 12 4 3" xfId="2962" xr:uid="{00000000-0005-0000-0000-000093190000}"/>
    <cellStyle name="Percentuale 12 5" xfId="1649" xr:uid="{00000000-0005-0000-0000-000094190000}"/>
    <cellStyle name="Percentuale 13" xfId="362" xr:uid="{00000000-0005-0000-0000-000095190000}"/>
    <cellStyle name="Percentuale 13 2" xfId="597" xr:uid="{00000000-0005-0000-0000-000096190000}"/>
    <cellStyle name="Percentuale 13 2 2" xfId="2964" xr:uid="{00000000-0005-0000-0000-000097190000}"/>
    <cellStyle name="Percentuale 13 3" xfId="1650" xr:uid="{00000000-0005-0000-0000-000098190000}"/>
    <cellStyle name="Percentuale 13 3 2" xfId="1651" xr:uid="{00000000-0005-0000-0000-000099190000}"/>
    <cellStyle name="Percentuale 13 3 2 2" xfId="4365" xr:uid="{00000000-0005-0000-0000-00009A190000}"/>
    <cellStyle name="Percentuale 13 3 2 3" xfId="5384" xr:uid="{00000000-0005-0000-0000-00009B190000}"/>
    <cellStyle name="Percentuale 13 3 3" xfId="1652" xr:uid="{00000000-0005-0000-0000-00009C190000}"/>
    <cellStyle name="Percentuale 13 3 3 2" xfId="2966" xr:uid="{00000000-0005-0000-0000-00009D190000}"/>
    <cellStyle name="Percentuale 13 3 4" xfId="2965" xr:uid="{00000000-0005-0000-0000-00009E190000}"/>
    <cellStyle name="Percentuale 13 4" xfId="1653" xr:uid="{00000000-0005-0000-0000-00009F190000}"/>
    <cellStyle name="Percentuale 13 4 2" xfId="1654" xr:uid="{00000000-0005-0000-0000-0000A0190000}"/>
    <cellStyle name="Percentuale 13 4 2 2" xfId="2968" xr:uid="{00000000-0005-0000-0000-0000A1190000}"/>
    <cellStyle name="Percentuale 13 4 3" xfId="2967" xr:uid="{00000000-0005-0000-0000-0000A2190000}"/>
    <cellStyle name="Percentuale 13 5" xfId="1655" xr:uid="{00000000-0005-0000-0000-0000A3190000}"/>
    <cellStyle name="Percentuale 14" xfId="363" xr:uid="{00000000-0005-0000-0000-0000A4190000}"/>
    <cellStyle name="Percentuale 14 2" xfId="598" xr:uid="{00000000-0005-0000-0000-0000A5190000}"/>
    <cellStyle name="Percentuale 14 2 2" xfId="2969" xr:uid="{00000000-0005-0000-0000-0000A6190000}"/>
    <cellStyle name="Percentuale 14 3" xfId="1656" xr:uid="{00000000-0005-0000-0000-0000A7190000}"/>
    <cellStyle name="Percentuale 14 3 2" xfId="1657" xr:uid="{00000000-0005-0000-0000-0000A8190000}"/>
    <cellStyle name="Percentuale 14 3 2 2" xfId="4366" xr:uid="{00000000-0005-0000-0000-0000A9190000}"/>
    <cellStyle name="Percentuale 14 3 2 3" xfId="5385" xr:uid="{00000000-0005-0000-0000-0000AA190000}"/>
    <cellStyle name="Percentuale 14 3 3" xfId="1658" xr:uid="{00000000-0005-0000-0000-0000AB190000}"/>
    <cellStyle name="Percentuale 14 3 3 2" xfId="2971" xr:uid="{00000000-0005-0000-0000-0000AC190000}"/>
    <cellStyle name="Percentuale 14 3 4" xfId="2970" xr:uid="{00000000-0005-0000-0000-0000AD190000}"/>
    <cellStyle name="Percentuale 14 4" xfId="1659" xr:uid="{00000000-0005-0000-0000-0000AE190000}"/>
    <cellStyle name="Percentuale 14 4 2" xfId="1660" xr:uid="{00000000-0005-0000-0000-0000AF190000}"/>
    <cellStyle name="Percentuale 14 4 2 2" xfId="2973" xr:uid="{00000000-0005-0000-0000-0000B0190000}"/>
    <cellStyle name="Percentuale 14 4 3" xfId="2972" xr:uid="{00000000-0005-0000-0000-0000B1190000}"/>
    <cellStyle name="Percentuale 14 5" xfId="1661" xr:uid="{00000000-0005-0000-0000-0000B2190000}"/>
    <cellStyle name="Percentuale 15" xfId="364" xr:uid="{00000000-0005-0000-0000-0000B3190000}"/>
    <cellStyle name="Percentuale 15 2" xfId="599" xr:uid="{00000000-0005-0000-0000-0000B4190000}"/>
    <cellStyle name="Percentuale 15 2 2" xfId="2974" xr:uid="{00000000-0005-0000-0000-0000B5190000}"/>
    <cellStyle name="Percentuale 15 3" xfId="1662" xr:uid="{00000000-0005-0000-0000-0000B6190000}"/>
    <cellStyle name="Percentuale 15 3 2" xfId="1663" xr:uid="{00000000-0005-0000-0000-0000B7190000}"/>
    <cellStyle name="Percentuale 15 3 2 2" xfId="4367" xr:uid="{00000000-0005-0000-0000-0000B8190000}"/>
    <cellStyle name="Percentuale 15 3 2 3" xfId="5386" xr:uid="{00000000-0005-0000-0000-0000B9190000}"/>
    <cellStyle name="Percentuale 15 3 3" xfId="1664" xr:uid="{00000000-0005-0000-0000-0000BA190000}"/>
    <cellStyle name="Percentuale 15 3 3 2" xfId="2976" xr:uid="{00000000-0005-0000-0000-0000BB190000}"/>
    <cellStyle name="Percentuale 15 3 4" xfId="2975" xr:uid="{00000000-0005-0000-0000-0000BC190000}"/>
    <cellStyle name="Percentuale 15 4" xfId="1665" xr:uid="{00000000-0005-0000-0000-0000BD190000}"/>
    <cellStyle name="Percentuale 15 4 2" xfId="1666" xr:uid="{00000000-0005-0000-0000-0000BE190000}"/>
    <cellStyle name="Percentuale 15 4 2 2" xfId="2978" xr:uid="{00000000-0005-0000-0000-0000BF190000}"/>
    <cellStyle name="Percentuale 15 4 3" xfId="2977" xr:uid="{00000000-0005-0000-0000-0000C0190000}"/>
    <cellStyle name="Percentuale 15 5" xfId="1667" xr:uid="{00000000-0005-0000-0000-0000C1190000}"/>
    <cellStyle name="Percentuale 16" xfId="365" xr:uid="{00000000-0005-0000-0000-0000C2190000}"/>
    <cellStyle name="Percentuale 16 2" xfId="600" xr:uid="{00000000-0005-0000-0000-0000C3190000}"/>
    <cellStyle name="Percentuale 16 2 2" xfId="2979" xr:uid="{00000000-0005-0000-0000-0000C4190000}"/>
    <cellStyle name="Percentuale 16 3" xfId="1668" xr:uid="{00000000-0005-0000-0000-0000C5190000}"/>
    <cellStyle name="Percentuale 16 3 2" xfId="1669" xr:uid="{00000000-0005-0000-0000-0000C6190000}"/>
    <cellStyle name="Percentuale 16 3 2 2" xfId="4368" xr:uid="{00000000-0005-0000-0000-0000C7190000}"/>
    <cellStyle name="Percentuale 16 3 2 3" xfId="5387" xr:uid="{00000000-0005-0000-0000-0000C8190000}"/>
    <cellStyle name="Percentuale 16 3 3" xfId="1670" xr:uid="{00000000-0005-0000-0000-0000C9190000}"/>
    <cellStyle name="Percentuale 16 3 3 2" xfId="2981" xr:uid="{00000000-0005-0000-0000-0000CA190000}"/>
    <cellStyle name="Percentuale 16 3 4" xfId="2980" xr:uid="{00000000-0005-0000-0000-0000CB190000}"/>
    <cellStyle name="Percentuale 16 4" xfId="1671" xr:uid="{00000000-0005-0000-0000-0000CC190000}"/>
    <cellStyle name="Percentuale 16 4 2" xfId="1672" xr:uid="{00000000-0005-0000-0000-0000CD190000}"/>
    <cellStyle name="Percentuale 16 4 2 2" xfId="2983" xr:uid="{00000000-0005-0000-0000-0000CE190000}"/>
    <cellStyle name="Percentuale 16 4 3" xfId="2982" xr:uid="{00000000-0005-0000-0000-0000CF190000}"/>
    <cellStyle name="Percentuale 16 5" xfId="1673" xr:uid="{00000000-0005-0000-0000-0000D0190000}"/>
    <cellStyle name="Percentuale 17" xfId="366" xr:uid="{00000000-0005-0000-0000-0000D1190000}"/>
    <cellStyle name="Percentuale 17 2" xfId="601" xr:uid="{00000000-0005-0000-0000-0000D2190000}"/>
    <cellStyle name="Percentuale 17 2 2" xfId="2984" xr:uid="{00000000-0005-0000-0000-0000D3190000}"/>
    <cellStyle name="Percentuale 17 3" xfId="1674" xr:uid="{00000000-0005-0000-0000-0000D4190000}"/>
    <cellStyle name="Percentuale 17 3 2" xfId="1675" xr:uid="{00000000-0005-0000-0000-0000D5190000}"/>
    <cellStyle name="Percentuale 17 3 2 2" xfId="4369" xr:uid="{00000000-0005-0000-0000-0000D6190000}"/>
    <cellStyle name="Percentuale 17 3 2 3" xfId="5388" xr:uid="{00000000-0005-0000-0000-0000D7190000}"/>
    <cellStyle name="Percentuale 17 3 3" xfId="1676" xr:uid="{00000000-0005-0000-0000-0000D8190000}"/>
    <cellStyle name="Percentuale 17 3 3 2" xfId="2986" xr:uid="{00000000-0005-0000-0000-0000D9190000}"/>
    <cellStyle name="Percentuale 17 3 4" xfId="2985" xr:uid="{00000000-0005-0000-0000-0000DA190000}"/>
    <cellStyle name="Percentuale 17 4" xfId="1677" xr:uid="{00000000-0005-0000-0000-0000DB190000}"/>
    <cellStyle name="Percentuale 17 4 2" xfId="1678" xr:uid="{00000000-0005-0000-0000-0000DC190000}"/>
    <cellStyle name="Percentuale 17 4 2 2" xfId="2988" xr:uid="{00000000-0005-0000-0000-0000DD190000}"/>
    <cellStyle name="Percentuale 17 4 3" xfId="2987" xr:uid="{00000000-0005-0000-0000-0000DE190000}"/>
    <cellStyle name="Percentuale 17 5" xfId="1679" xr:uid="{00000000-0005-0000-0000-0000DF190000}"/>
    <cellStyle name="Percentuale 18" xfId="367" xr:uid="{00000000-0005-0000-0000-0000E0190000}"/>
    <cellStyle name="Percentuale 18 2" xfId="602" xr:uid="{00000000-0005-0000-0000-0000E1190000}"/>
    <cellStyle name="Percentuale 18 2 2" xfId="2989" xr:uid="{00000000-0005-0000-0000-0000E2190000}"/>
    <cellStyle name="Percentuale 18 3" xfId="1680" xr:uid="{00000000-0005-0000-0000-0000E3190000}"/>
    <cellStyle name="Percentuale 18 3 2" xfId="1681" xr:uid="{00000000-0005-0000-0000-0000E4190000}"/>
    <cellStyle name="Percentuale 18 3 2 2" xfId="4370" xr:uid="{00000000-0005-0000-0000-0000E5190000}"/>
    <cellStyle name="Percentuale 18 3 2 3" xfId="5389" xr:uid="{00000000-0005-0000-0000-0000E6190000}"/>
    <cellStyle name="Percentuale 18 3 3" xfId="1682" xr:uid="{00000000-0005-0000-0000-0000E7190000}"/>
    <cellStyle name="Percentuale 18 3 3 2" xfId="2991" xr:uid="{00000000-0005-0000-0000-0000E8190000}"/>
    <cellStyle name="Percentuale 18 3 4" xfId="2990" xr:uid="{00000000-0005-0000-0000-0000E9190000}"/>
    <cellStyle name="Percentuale 18 4" xfId="1683" xr:uid="{00000000-0005-0000-0000-0000EA190000}"/>
    <cellStyle name="Percentuale 18 4 2" xfId="1684" xr:uid="{00000000-0005-0000-0000-0000EB190000}"/>
    <cellStyle name="Percentuale 18 4 2 2" xfId="2993" xr:uid="{00000000-0005-0000-0000-0000EC190000}"/>
    <cellStyle name="Percentuale 18 4 3" xfId="2992" xr:uid="{00000000-0005-0000-0000-0000ED190000}"/>
    <cellStyle name="Percentuale 18 5" xfId="1685" xr:uid="{00000000-0005-0000-0000-0000EE190000}"/>
    <cellStyle name="Percentuale 19" xfId="368" xr:uid="{00000000-0005-0000-0000-0000EF190000}"/>
    <cellStyle name="Percentuale 19 2" xfId="603" xr:uid="{00000000-0005-0000-0000-0000F0190000}"/>
    <cellStyle name="Percentuale 19 2 2" xfId="2994" xr:uid="{00000000-0005-0000-0000-0000F1190000}"/>
    <cellStyle name="Percentuale 19 3" xfId="1686" xr:uid="{00000000-0005-0000-0000-0000F2190000}"/>
    <cellStyle name="Percentuale 19 3 2" xfId="1687" xr:uid="{00000000-0005-0000-0000-0000F3190000}"/>
    <cellStyle name="Percentuale 19 3 2 2" xfId="4371" xr:uid="{00000000-0005-0000-0000-0000F4190000}"/>
    <cellStyle name="Percentuale 19 3 2 3" xfId="5390" xr:uid="{00000000-0005-0000-0000-0000F5190000}"/>
    <cellStyle name="Percentuale 19 3 3" xfId="1688" xr:uid="{00000000-0005-0000-0000-0000F6190000}"/>
    <cellStyle name="Percentuale 19 3 3 2" xfId="2996" xr:uid="{00000000-0005-0000-0000-0000F7190000}"/>
    <cellStyle name="Percentuale 19 3 4" xfId="2995" xr:uid="{00000000-0005-0000-0000-0000F8190000}"/>
    <cellStyle name="Percentuale 19 4" xfId="1689" xr:uid="{00000000-0005-0000-0000-0000F9190000}"/>
    <cellStyle name="Percentuale 19 4 2" xfId="1690" xr:uid="{00000000-0005-0000-0000-0000FA190000}"/>
    <cellStyle name="Percentuale 19 4 2 2" xfId="2998" xr:uid="{00000000-0005-0000-0000-0000FB190000}"/>
    <cellStyle name="Percentuale 19 4 3" xfId="2997" xr:uid="{00000000-0005-0000-0000-0000FC190000}"/>
    <cellStyle name="Percentuale 19 5" xfId="1691" xr:uid="{00000000-0005-0000-0000-0000FD190000}"/>
    <cellStyle name="Percentuale 2" xfId="369" xr:uid="{00000000-0005-0000-0000-0000FE190000}"/>
    <cellStyle name="Percentuale 2 2" xfId="604" xr:uid="{00000000-0005-0000-0000-0000FF190000}"/>
    <cellStyle name="Percentuale 2 2 2" xfId="2999" xr:uid="{00000000-0005-0000-0000-0000001A0000}"/>
    <cellStyle name="Percentuale 2 3" xfId="1692" xr:uid="{00000000-0005-0000-0000-0000011A0000}"/>
    <cellStyle name="Percentuale 2 3 2" xfId="1693" xr:uid="{00000000-0005-0000-0000-0000021A0000}"/>
    <cellStyle name="Percentuale 2 3 2 2" xfId="4372" xr:uid="{00000000-0005-0000-0000-0000031A0000}"/>
    <cellStyle name="Percentuale 2 3 2 3" xfId="5391" xr:uid="{00000000-0005-0000-0000-0000041A0000}"/>
    <cellStyle name="Percentuale 2 3 3" xfId="1694" xr:uid="{00000000-0005-0000-0000-0000051A0000}"/>
    <cellStyle name="Percentuale 2 3 3 2" xfId="3001" xr:uid="{00000000-0005-0000-0000-0000061A0000}"/>
    <cellStyle name="Percentuale 2 3 4" xfId="3000" xr:uid="{00000000-0005-0000-0000-0000071A0000}"/>
    <cellStyle name="Percentuale 2 4" xfId="1695" xr:uid="{00000000-0005-0000-0000-0000081A0000}"/>
    <cellStyle name="Percentuale 2 4 2" xfId="1696" xr:uid="{00000000-0005-0000-0000-0000091A0000}"/>
    <cellStyle name="Percentuale 2 4 2 2" xfId="3003" xr:uid="{00000000-0005-0000-0000-00000A1A0000}"/>
    <cellStyle name="Percentuale 2 4 3" xfId="3002" xr:uid="{00000000-0005-0000-0000-00000B1A0000}"/>
    <cellStyle name="Percentuale 2 5" xfId="1697" xr:uid="{00000000-0005-0000-0000-00000C1A0000}"/>
    <cellStyle name="Percentuale 20" xfId="370" xr:uid="{00000000-0005-0000-0000-00000D1A0000}"/>
    <cellStyle name="Percentuale 20 2" xfId="605" xr:uid="{00000000-0005-0000-0000-00000E1A0000}"/>
    <cellStyle name="Percentuale 20 2 2" xfId="3004" xr:uid="{00000000-0005-0000-0000-00000F1A0000}"/>
    <cellStyle name="Percentuale 20 3" xfId="1698" xr:uid="{00000000-0005-0000-0000-0000101A0000}"/>
    <cellStyle name="Percentuale 20 3 2" xfId="1699" xr:uid="{00000000-0005-0000-0000-0000111A0000}"/>
    <cellStyle name="Percentuale 20 3 2 2" xfId="4373" xr:uid="{00000000-0005-0000-0000-0000121A0000}"/>
    <cellStyle name="Percentuale 20 3 2 3" xfId="5392" xr:uid="{00000000-0005-0000-0000-0000131A0000}"/>
    <cellStyle name="Percentuale 20 3 3" xfId="1700" xr:uid="{00000000-0005-0000-0000-0000141A0000}"/>
    <cellStyle name="Percentuale 20 3 3 2" xfId="3006" xr:uid="{00000000-0005-0000-0000-0000151A0000}"/>
    <cellStyle name="Percentuale 20 3 4" xfId="3005" xr:uid="{00000000-0005-0000-0000-0000161A0000}"/>
    <cellStyle name="Percentuale 20 4" xfId="1701" xr:uid="{00000000-0005-0000-0000-0000171A0000}"/>
    <cellStyle name="Percentuale 20 4 2" xfId="1702" xr:uid="{00000000-0005-0000-0000-0000181A0000}"/>
    <cellStyle name="Percentuale 20 4 2 2" xfId="3008" xr:uid="{00000000-0005-0000-0000-0000191A0000}"/>
    <cellStyle name="Percentuale 20 4 3" xfId="3007" xr:uid="{00000000-0005-0000-0000-00001A1A0000}"/>
    <cellStyle name="Percentuale 20 5" xfId="1703" xr:uid="{00000000-0005-0000-0000-00001B1A0000}"/>
    <cellStyle name="Percentuale 21" xfId="371" xr:uid="{00000000-0005-0000-0000-00001C1A0000}"/>
    <cellStyle name="Percentuale 21 2" xfId="606" xr:uid="{00000000-0005-0000-0000-00001D1A0000}"/>
    <cellStyle name="Percentuale 21 2 2" xfId="3009" xr:uid="{00000000-0005-0000-0000-00001E1A0000}"/>
    <cellStyle name="Percentuale 21 3" xfId="1704" xr:uid="{00000000-0005-0000-0000-00001F1A0000}"/>
    <cellStyle name="Percentuale 21 3 2" xfId="1705" xr:uid="{00000000-0005-0000-0000-0000201A0000}"/>
    <cellStyle name="Percentuale 21 3 2 2" xfId="4374" xr:uid="{00000000-0005-0000-0000-0000211A0000}"/>
    <cellStyle name="Percentuale 21 3 2 3" xfId="5393" xr:uid="{00000000-0005-0000-0000-0000221A0000}"/>
    <cellStyle name="Percentuale 21 3 3" xfId="1706" xr:uid="{00000000-0005-0000-0000-0000231A0000}"/>
    <cellStyle name="Percentuale 21 3 3 2" xfId="3011" xr:uid="{00000000-0005-0000-0000-0000241A0000}"/>
    <cellStyle name="Percentuale 21 3 4" xfId="3010" xr:uid="{00000000-0005-0000-0000-0000251A0000}"/>
    <cellStyle name="Percentuale 21 4" xfId="1707" xr:uid="{00000000-0005-0000-0000-0000261A0000}"/>
    <cellStyle name="Percentuale 21 4 2" xfId="1708" xr:uid="{00000000-0005-0000-0000-0000271A0000}"/>
    <cellStyle name="Percentuale 21 4 2 2" xfId="3013" xr:uid="{00000000-0005-0000-0000-0000281A0000}"/>
    <cellStyle name="Percentuale 21 4 3" xfId="3012" xr:uid="{00000000-0005-0000-0000-0000291A0000}"/>
    <cellStyle name="Percentuale 21 5" xfId="1709" xr:uid="{00000000-0005-0000-0000-00002A1A0000}"/>
    <cellStyle name="Percentuale 22" xfId="372" xr:uid="{00000000-0005-0000-0000-00002B1A0000}"/>
    <cellStyle name="Percentuale 22 2" xfId="607" xr:uid="{00000000-0005-0000-0000-00002C1A0000}"/>
    <cellStyle name="Percentuale 22 2 2" xfId="3014" xr:uid="{00000000-0005-0000-0000-00002D1A0000}"/>
    <cellStyle name="Percentuale 22 3" xfId="1710" xr:uid="{00000000-0005-0000-0000-00002E1A0000}"/>
    <cellStyle name="Percentuale 22 3 2" xfId="1711" xr:uid="{00000000-0005-0000-0000-00002F1A0000}"/>
    <cellStyle name="Percentuale 22 3 2 2" xfId="4375" xr:uid="{00000000-0005-0000-0000-0000301A0000}"/>
    <cellStyle name="Percentuale 22 3 2 3" xfId="5394" xr:uid="{00000000-0005-0000-0000-0000311A0000}"/>
    <cellStyle name="Percentuale 22 3 3" xfId="1712" xr:uid="{00000000-0005-0000-0000-0000321A0000}"/>
    <cellStyle name="Percentuale 22 3 3 2" xfId="3016" xr:uid="{00000000-0005-0000-0000-0000331A0000}"/>
    <cellStyle name="Percentuale 22 3 4" xfId="3015" xr:uid="{00000000-0005-0000-0000-0000341A0000}"/>
    <cellStyle name="Percentuale 22 4" xfId="1713" xr:uid="{00000000-0005-0000-0000-0000351A0000}"/>
    <cellStyle name="Percentuale 22 4 2" xfId="1714" xr:uid="{00000000-0005-0000-0000-0000361A0000}"/>
    <cellStyle name="Percentuale 22 4 2 2" xfId="3018" xr:uid="{00000000-0005-0000-0000-0000371A0000}"/>
    <cellStyle name="Percentuale 22 4 3" xfId="3017" xr:uid="{00000000-0005-0000-0000-0000381A0000}"/>
    <cellStyle name="Percentuale 22 5" xfId="1715" xr:uid="{00000000-0005-0000-0000-0000391A0000}"/>
    <cellStyle name="Percentuale 23" xfId="373" xr:uid="{00000000-0005-0000-0000-00003A1A0000}"/>
    <cellStyle name="Percentuale 23 2" xfId="608" xr:uid="{00000000-0005-0000-0000-00003B1A0000}"/>
    <cellStyle name="Percentuale 23 2 2" xfId="3019" xr:uid="{00000000-0005-0000-0000-00003C1A0000}"/>
    <cellStyle name="Percentuale 23 3" xfId="1716" xr:uid="{00000000-0005-0000-0000-00003D1A0000}"/>
    <cellStyle name="Percentuale 23 3 2" xfId="1717" xr:uid="{00000000-0005-0000-0000-00003E1A0000}"/>
    <cellStyle name="Percentuale 23 3 2 2" xfId="4376" xr:uid="{00000000-0005-0000-0000-00003F1A0000}"/>
    <cellStyle name="Percentuale 23 3 2 3" xfId="5395" xr:uid="{00000000-0005-0000-0000-0000401A0000}"/>
    <cellStyle name="Percentuale 23 3 3" xfId="1718" xr:uid="{00000000-0005-0000-0000-0000411A0000}"/>
    <cellStyle name="Percentuale 23 3 3 2" xfId="3021" xr:uid="{00000000-0005-0000-0000-0000421A0000}"/>
    <cellStyle name="Percentuale 23 3 4" xfId="3020" xr:uid="{00000000-0005-0000-0000-0000431A0000}"/>
    <cellStyle name="Percentuale 23 4" xfId="1719" xr:uid="{00000000-0005-0000-0000-0000441A0000}"/>
    <cellStyle name="Percentuale 23 4 2" xfId="1720" xr:uid="{00000000-0005-0000-0000-0000451A0000}"/>
    <cellStyle name="Percentuale 23 4 2 2" xfId="3023" xr:uid="{00000000-0005-0000-0000-0000461A0000}"/>
    <cellStyle name="Percentuale 23 4 3" xfId="3022" xr:uid="{00000000-0005-0000-0000-0000471A0000}"/>
    <cellStyle name="Percentuale 23 5" xfId="1721" xr:uid="{00000000-0005-0000-0000-0000481A0000}"/>
    <cellStyle name="Percentuale 24" xfId="374" xr:uid="{00000000-0005-0000-0000-0000491A0000}"/>
    <cellStyle name="Percentuale 24 2" xfId="609" xr:uid="{00000000-0005-0000-0000-00004A1A0000}"/>
    <cellStyle name="Percentuale 24 2 2" xfId="3024" xr:uid="{00000000-0005-0000-0000-00004B1A0000}"/>
    <cellStyle name="Percentuale 24 3" xfId="1722" xr:uid="{00000000-0005-0000-0000-00004C1A0000}"/>
    <cellStyle name="Percentuale 24 3 2" xfId="1723" xr:uid="{00000000-0005-0000-0000-00004D1A0000}"/>
    <cellStyle name="Percentuale 24 3 2 2" xfId="4377" xr:uid="{00000000-0005-0000-0000-00004E1A0000}"/>
    <cellStyle name="Percentuale 24 3 2 3" xfId="5396" xr:uid="{00000000-0005-0000-0000-00004F1A0000}"/>
    <cellStyle name="Percentuale 24 3 3" xfId="1724" xr:uid="{00000000-0005-0000-0000-0000501A0000}"/>
    <cellStyle name="Percentuale 24 3 3 2" xfId="3026" xr:uid="{00000000-0005-0000-0000-0000511A0000}"/>
    <cellStyle name="Percentuale 24 3 4" xfId="3025" xr:uid="{00000000-0005-0000-0000-0000521A0000}"/>
    <cellStyle name="Percentuale 24 4" xfId="1725" xr:uid="{00000000-0005-0000-0000-0000531A0000}"/>
    <cellStyle name="Percentuale 24 4 2" xfId="1726" xr:uid="{00000000-0005-0000-0000-0000541A0000}"/>
    <cellStyle name="Percentuale 24 4 2 2" xfId="3028" xr:uid="{00000000-0005-0000-0000-0000551A0000}"/>
    <cellStyle name="Percentuale 24 4 3" xfId="3027" xr:uid="{00000000-0005-0000-0000-0000561A0000}"/>
    <cellStyle name="Percentuale 24 5" xfId="1727" xr:uid="{00000000-0005-0000-0000-0000571A0000}"/>
    <cellStyle name="Percentuale 25" xfId="375" xr:uid="{00000000-0005-0000-0000-0000581A0000}"/>
    <cellStyle name="Percentuale 25 2" xfId="610" xr:uid="{00000000-0005-0000-0000-0000591A0000}"/>
    <cellStyle name="Percentuale 25 2 2" xfId="3029" xr:uid="{00000000-0005-0000-0000-00005A1A0000}"/>
    <cellStyle name="Percentuale 25 3" xfId="1728" xr:uid="{00000000-0005-0000-0000-00005B1A0000}"/>
    <cellStyle name="Percentuale 25 3 2" xfId="1729" xr:uid="{00000000-0005-0000-0000-00005C1A0000}"/>
    <cellStyle name="Percentuale 25 3 2 2" xfId="4378" xr:uid="{00000000-0005-0000-0000-00005D1A0000}"/>
    <cellStyle name="Percentuale 25 3 2 3" xfId="5397" xr:uid="{00000000-0005-0000-0000-00005E1A0000}"/>
    <cellStyle name="Percentuale 25 3 3" xfId="1730" xr:uid="{00000000-0005-0000-0000-00005F1A0000}"/>
    <cellStyle name="Percentuale 25 3 3 2" xfId="3031" xr:uid="{00000000-0005-0000-0000-0000601A0000}"/>
    <cellStyle name="Percentuale 25 3 4" xfId="3030" xr:uid="{00000000-0005-0000-0000-0000611A0000}"/>
    <cellStyle name="Percentuale 25 4" xfId="1731" xr:uid="{00000000-0005-0000-0000-0000621A0000}"/>
    <cellStyle name="Percentuale 25 4 2" xfId="1732" xr:uid="{00000000-0005-0000-0000-0000631A0000}"/>
    <cellStyle name="Percentuale 25 4 2 2" xfId="3033" xr:uid="{00000000-0005-0000-0000-0000641A0000}"/>
    <cellStyle name="Percentuale 25 4 3" xfId="3032" xr:uid="{00000000-0005-0000-0000-0000651A0000}"/>
    <cellStyle name="Percentuale 25 5" xfId="1733" xr:uid="{00000000-0005-0000-0000-0000661A0000}"/>
    <cellStyle name="Percentuale 26" xfId="376" xr:uid="{00000000-0005-0000-0000-0000671A0000}"/>
    <cellStyle name="Percentuale 26 2" xfId="611" xr:uid="{00000000-0005-0000-0000-0000681A0000}"/>
    <cellStyle name="Percentuale 26 2 2" xfId="3034" xr:uid="{00000000-0005-0000-0000-0000691A0000}"/>
    <cellStyle name="Percentuale 26 3" xfId="1734" xr:uid="{00000000-0005-0000-0000-00006A1A0000}"/>
    <cellStyle name="Percentuale 26 3 2" xfId="1735" xr:uid="{00000000-0005-0000-0000-00006B1A0000}"/>
    <cellStyle name="Percentuale 26 3 2 2" xfId="4379" xr:uid="{00000000-0005-0000-0000-00006C1A0000}"/>
    <cellStyle name="Percentuale 26 3 2 3" xfId="5398" xr:uid="{00000000-0005-0000-0000-00006D1A0000}"/>
    <cellStyle name="Percentuale 26 3 3" xfId="1736" xr:uid="{00000000-0005-0000-0000-00006E1A0000}"/>
    <cellStyle name="Percentuale 26 3 3 2" xfId="3036" xr:uid="{00000000-0005-0000-0000-00006F1A0000}"/>
    <cellStyle name="Percentuale 26 3 4" xfId="3035" xr:uid="{00000000-0005-0000-0000-0000701A0000}"/>
    <cellStyle name="Percentuale 26 4" xfId="1737" xr:uid="{00000000-0005-0000-0000-0000711A0000}"/>
    <cellStyle name="Percentuale 26 4 2" xfId="1738" xr:uid="{00000000-0005-0000-0000-0000721A0000}"/>
    <cellStyle name="Percentuale 26 4 2 2" xfId="3038" xr:uid="{00000000-0005-0000-0000-0000731A0000}"/>
    <cellStyle name="Percentuale 26 4 3" xfId="3037" xr:uid="{00000000-0005-0000-0000-0000741A0000}"/>
    <cellStyle name="Percentuale 26 5" xfId="1739" xr:uid="{00000000-0005-0000-0000-0000751A0000}"/>
    <cellStyle name="Percentuale 27" xfId="377" xr:uid="{00000000-0005-0000-0000-0000761A0000}"/>
    <cellStyle name="Percentuale 27 2" xfId="612" xr:uid="{00000000-0005-0000-0000-0000771A0000}"/>
    <cellStyle name="Percentuale 27 2 2" xfId="3039" xr:uid="{00000000-0005-0000-0000-0000781A0000}"/>
    <cellStyle name="Percentuale 27 3" xfId="1740" xr:uid="{00000000-0005-0000-0000-0000791A0000}"/>
    <cellStyle name="Percentuale 27 3 2" xfId="1741" xr:uid="{00000000-0005-0000-0000-00007A1A0000}"/>
    <cellStyle name="Percentuale 27 3 2 2" xfId="4380" xr:uid="{00000000-0005-0000-0000-00007B1A0000}"/>
    <cellStyle name="Percentuale 27 3 2 3" xfId="5399" xr:uid="{00000000-0005-0000-0000-00007C1A0000}"/>
    <cellStyle name="Percentuale 27 3 3" xfId="1742" xr:uid="{00000000-0005-0000-0000-00007D1A0000}"/>
    <cellStyle name="Percentuale 27 3 3 2" xfId="3041" xr:uid="{00000000-0005-0000-0000-00007E1A0000}"/>
    <cellStyle name="Percentuale 27 3 4" xfId="3040" xr:uid="{00000000-0005-0000-0000-00007F1A0000}"/>
    <cellStyle name="Percentuale 27 4" xfId="1743" xr:uid="{00000000-0005-0000-0000-0000801A0000}"/>
    <cellStyle name="Percentuale 27 4 2" xfId="1744" xr:uid="{00000000-0005-0000-0000-0000811A0000}"/>
    <cellStyle name="Percentuale 27 4 2 2" xfId="3043" xr:uid="{00000000-0005-0000-0000-0000821A0000}"/>
    <cellStyle name="Percentuale 27 4 3" xfId="3042" xr:uid="{00000000-0005-0000-0000-0000831A0000}"/>
    <cellStyle name="Percentuale 27 5" xfId="1745" xr:uid="{00000000-0005-0000-0000-0000841A0000}"/>
    <cellStyle name="Percentuale 28" xfId="378" xr:uid="{00000000-0005-0000-0000-0000851A0000}"/>
    <cellStyle name="Percentuale 28 2" xfId="613" xr:uid="{00000000-0005-0000-0000-0000861A0000}"/>
    <cellStyle name="Percentuale 28 2 2" xfId="3044" xr:uid="{00000000-0005-0000-0000-0000871A0000}"/>
    <cellStyle name="Percentuale 28 3" xfId="1746" xr:uid="{00000000-0005-0000-0000-0000881A0000}"/>
    <cellStyle name="Percentuale 28 3 2" xfId="1747" xr:uid="{00000000-0005-0000-0000-0000891A0000}"/>
    <cellStyle name="Percentuale 28 3 2 2" xfId="4381" xr:uid="{00000000-0005-0000-0000-00008A1A0000}"/>
    <cellStyle name="Percentuale 28 3 2 3" xfId="5400" xr:uid="{00000000-0005-0000-0000-00008B1A0000}"/>
    <cellStyle name="Percentuale 28 3 3" xfId="1748" xr:uid="{00000000-0005-0000-0000-00008C1A0000}"/>
    <cellStyle name="Percentuale 28 3 3 2" xfId="3046" xr:uid="{00000000-0005-0000-0000-00008D1A0000}"/>
    <cellStyle name="Percentuale 28 3 4" xfId="3045" xr:uid="{00000000-0005-0000-0000-00008E1A0000}"/>
    <cellStyle name="Percentuale 28 4" xfId="1749" xr:uid="{00000000-0005-0000-0000-00008F1A0000}"/>
    <cellStyle name="Percentuale 28 4 2" xfId="1750" xr:uid="{00000000-0005-0000-0000-0000901A0000}"/>
    <cellStyle name="Percentuale 28 4 2 2" xfId="3048" xr:uid="{00000000-0005-0000-0000-0000911A0000}"/>
    <cellStyle name="Percentuale 28 4 3" xfId="3047" xr:uid="{00000000-0005-0000-0000-0000921A0000}"/>
    <cellStyle name="Percentuale 28 5" xfId="1751" xr:uid="{00000000-0005-0000-0000-0000931A0000}"/>
    <cellStyle name="Percentuale 29" xfId="379" xr:uid="{00000000-0005-0000-0000-0000941A0000}"/>
    <cellStyle name="Percentuale 29 2" xfId="614" xr:uid="{00000000-0005-0000-0000-0000951A0000}"/>
    <cellStyle name="Percentuale 29 2 2" xfId="3049" xr:uid="{00000000-0005-0000-0000-0000961A0000}"/>
    <cellStyle name="Percentuale 29 3" xfId="1752" xr:uid="{00000000-0005-0000-0000-0000971A0000}"/>
    <cellStyle name="Percentuale 29 3 2" xfId="1753" xr:uid="{00000000-0005-0000-0000-0000981A0000}"/>
    <cellStyle name="Percentuale 29 3 2 2" xfId="4382" xr:uid="{00000000-0005-0000-0000-0000991A0000}"/>
    <cellStyle name="Percentuale 29 3 2 3" xfId="5401" xr:uid="{00000000-0005-0000-0000-00009A1A0000}"/>
    <cellStyle name="Percentuale 29 3 3" xfId="1754" xr:uid="{00000000-0005-0000-0000-00009B1A0000}"/>
    <cellStyle name="Percentuale 29 3 3 2" xfId="3051" xr:uid="{00000000-0005-0000-0000-00009C1A0000}"/>
    <cellStyle name="Percentuale 29 3 4" xfId="3050" xr:uid="{00000000-0005-0000-0000-00009D1A0000}"/>
    <cellStyle name="Percentuale 29 4" xfId="1755" xr:uid="{00000000-0005-0000-0000-00009E1A0000}"/>
    <cellStyle name="Percentuale 29 4 2" xfId="1756" xr:uid="{00000000-0005-0000-0000-00009F1A0000}"/>
    <cellStyle name="Percentuale 29 4 2 2" xfId="3053" xr:uid="{00000000-0005-0000-0000-0000A01A0000}"/>
    <cellStyle name="Percentuale 29 4 3" xfId="3052" xr:uid="{00000000-0005-0000-0000-0000A11A0000}"/>
    <cellStyle name="Percentuale 29 5" xfId="1757" xr:uid="{00000000-0005-0000-0000-0000A21A0000}"/>
    <cellStyle name="Percentuale 3" xfId="380" xr:uid="{00000000-0005-0000-0000-0000A31A0000}"/>
    <cellStyle name="Percentuale 3 2" xfId="615" xr:uid="{00000000-0005-0000-0000-0000A41A0000}"/>
    <cellStyle name="Percentuale 3 2 2" xfId="3054" xr:uid="{00000000-0005-0000-0000-0000A51A0000}"/>
    <cellStyle name="Percentuale 3 3" xfId="1758" xr:uid="{00000000-0005-0000-0000-0000A61A0000}"/>
    <cellStyle name="Percentuale 3 3 2" xfId="1759" xr:uid="{00000000-0005-0000-0000-0000A71A0000}"/>
    <cellStyle name="Percentuale 3 3 2 2" xfId="4383" xr:uid="{00000000-0005-0000-0000-0000A81A0000}"/>
    <cellStyle name="Percentuale 3 3 2 3" xfId="5402" xr:uid="{00000000-0005-0000-0000-0000A91A0000}"/>
    <cellStyle name="Percentuale 3 3 3" xfId="1760" xr:uid="{00000000-0005-0000-0000-0000AA1A0000}"/>
    <cellStyle name="Percentuale 3 3 3 2" xfId="3056" xr:uid="{00000000-0005-0000-0000-0000AB1A0000}"/>
    <cellStyle name="Percentuale 3 3 4" xfId="3055" xr:uid="{00000000-0005-0000-0000-0000AC1A0000}"/>
    <cellStyle name="Percentuale 3 4" xfId="1761" xr:uid="{00000000-0005-0000-0000-0000AD1A0000}"/>
    <cellStyle name="Percentuale 3 4 2" xfId="1762" xr:uid="{00000000-0005-0000-0000-0000AE1A0000}"/>
    <cellStyle name="Percentuale 3 4 2 2" xfId="3058" xr:uid="{00000000-0005-0000-0000-0000AF1A0000}"/>
    <cellStyle name="Percentuale 3 4 3" xfId="3057" xr:uid="{00000000-0005-0000-0000-0000B01A0000}"/>
    <cellStyle name="Percentuale 3 5" xfId="1763" xr:uid="{00000000-0005-0000-0000-0000B11A0000}"/>
    <cellStyle name="Percentuale 30" xfId="381" xr:uid="{00000000-0005-0000-0000-0000B21A0000}"/>
    <cellStyle name="Percentuale 30 2" xfId="616" xr:uid="{00000000-0005-0000-0000-0000B31A0000}"/>
    <cellStyle name="Percentuale 30 2 2" xfId="3059" xr:uid="{00000000-0005-0000-0000-0000B41A0000}"/>
    <cellStyle name="Percentuale 30 3" xfId="1764" xr:uid="{00000000-0005-0000-0000-0000B51A0000}"/>
    <cellStyle name="Percentuale 30 3 2" xfId="1765" xr:uid="{00000000-0005-0000-0000-0000B61A0000}"/>
    <cellStyle name="Percentuale 30 3 2 2" xfId="4384" xr:uid="{00000000-0005-0000-0000-0000B71A0000}"/>
    <cellStyle name="Percentuale 30 3 2 3" xfId="5403" xr:uid="{00000000-0005-0000-0000-0000B81A0000}"/>
    <cellStyle name="Percentuale 30 3 3" xfId="1766" xr:uid="{00000000-0005-0000-0000-0000B91A0000}"/>
    <cellStyle name="Percentuale 30 3 3 2" xfId="3061" xr:uid="{00000000-0005-0000-0000-0000BA1A0000}"/>
    <cellStyle name="Percentuale 30 3 4" xfId="3060" xr:uid="{00000000-0005-0000-0000-0000BB1A0000}"/>
    <cellStyle name="Percentuale 30 4" xfId="1767" xr:uid="{00000000-0005-0000-0000-0000BC1A0000}"/>
    <cellStyle name="Percentuale 30 4 2" xfId="1768" xr:uid="{00000000-0005-0000-0000-0000BD1A0000}"/>
    <cellStyle name="Percentuale 30 4 2 2" xfId="3063" xr:uid="{00000000-0005-0000-0000-0000BE1A0000}"/>
    <cellStyle name="Percentuale 30 4 3" xfId="3062" xr:uid="{00000000-0005-0000-0000-0000BF1A0000}"/>
    <cellStyle name="Percentuale 30 5" xfId="1769" xr:uid="{00000000-0005-0000-0000-0000C01A0000}"/>
    <cellStyle name="Percentuale 31" xfId="382" xr:uid="{00000000-0005-0000-0000-0000C11A0000}"/>
    <cellStyle name="Percentuale 31 2" xfId="617" xr:uid="{00000000-0005-0000-0000-0000C21A0000}"/>
    <cellStyle name="Percentuale 31 2 2" xfId="3064" xr:uid="{00000000-0005-0000-0000-0000C31A0000}"/>
    <cellStyle name="Percentuale 31 3" xfId="1770" xr:uid="{00000000-0005-0000-0000-0000C41A0000}"/>
    <cellStyle name="Percentuale 31 3 2" xfId="1771" xr:uid="{00000000-0005-0000-0000-0000C51A0000}"/>
    <cellStyle name="Percentuale 31 3 2 2" xfId="4385" xr:uid="{00000000-0005-0000-0000-0000C61A0000}"/>
    <cellStyle name="Percentuale 31 3 2 3" xfId="5404" xr:uid="{00000000-0005-0000-0000-0000C71A0000}"/>
    <cellStyle name="Percentuale 31 3 3" xfId="1772" xr:uid="{00000000-0005-0000-0000-0000C81A0000}"/>
    <cellStyle name="Percentuale 31 3 3 2" xfId="3066" xr:uid="{00000000-0005-0000-0000-0000C91A0000}"/>
    <cellStyle name="Percentuale 31 3 4" xfId="3065" xr:uid="{00000000-0005-0000-0000-0000CA1A0000}"/>
    <cellStyle name="Percentuale 31 4" xfId="1773" xr:uid="{00000000-0005-0000-0000-0000CB1A0000}"/>
    <cellStyle name="Percentuale 31 4 2" xfId="1774" xr:uid="{00000000-0005-0000-0000-0000CC1A0000}"/>
    <cellStyle name="Percentuale 31 4 2 2" xfId="3068" xr:uid="{00000000-0005-0000-0000-0000CD1A0000}"/>
    <cellStyle name="Percentuale 31 4 3" xfId="3067" xr:uid="{00000000-0005-0000-0000-0000CE1A0000}"/>
    <cellStyle name="Percentuale 31 5" xfId="1775" xr:uid="{00000000-0005-0000-0000-0000CF1A0000}"/>
    <cellStyle name="Percentuale 32" xfId="383" xr:uid="{00000000-0005-0000-0000-0000D01A0000}"/>
    <cellStyle name="Percentuale 32 2" xfId="618" xr:uid="{00000000-0005-0000-0000-0000D11A0000}"/>
    <cellStyle name="Percentuale 32 2 2" xfId="3069" xr:uid="{00000000-0005-0000-0000-0000D21A0000}"/>
    <cellStyle name="Percentuale 32 3" xfId="1776" xr:uid="{00000000-0005-0000-0000-0000D31A0000}"/>
    <cellStyle name="Percentuale 32 3 2" xfId="1777" xr:uid="{00000000-0005-0000-0000-0000D41A0000}"/>
    <cellStyle name="Percentuale 32 3 2 2" xfId="4386" xr:uid="{00000000-0005-0000-0000-0000D51A0000}"/>
    <cellStyle name="Percentuale 32 3 2 3" xfId="5405" xr:uid="{00000000-0005-0000-0000-0000D61A0000}"/>
    <cellStyle name="Percentuale 32 3 3" xfId="1778" xr:uid="{00000000-0005-0000-0000-0000D71A0000}"/>
    <cellStyle name="Percentuale 32 3 3 2" xfId="3071" xr:uid="{00000000-0005-0000-0000-0000D81A0000}"/>
    <cellStyle name="Percentuale 32 3 4" xfId="3070" xr:uid="{00000000-0005-0000-0000-0000D91A0000}"/>
    <cellStyle name="Percentuale 32 4" xfId="1779" xr:uid="{00000000-0005-0000-0000-0000DA1A0000}"/>
    <cellStyle name="Percentuale 32 4 2" xfId="1780" xr:uid="{00000000-0005-0000-0000-0000DB1A0000}"/>
    <cellStyle name="Percentuale 32 4 2 2" xfId="3073" xr:uid="{00000000-0005-0000-0000-0000DC1A0000}"/>
    <cellStyle name="Percentuale 32 4 3" xfId="3072" xr:uid="{00000000-0005-0000-0000-0000DD1A0000}"/>
    <cellStyle name="Percentuale 32 5" xfId="1781" xr:uid="{00000000-0005-0000-0000-0000DE1A0000}"/>
    <cellStyle name="Percentuale 33" xfId="384" xr:uid="{00000000-0005-0000-0000-0000DF1A0000}"/>
    <cellStyle name="Percentuale 33 2" xfId="619" xr:uid="{00000000-0005-0000-0000-0000E01A0000}"/>
    <cellStyle name="Percentuale 33 2 2" xfId="3074" xr:uid="{00000000-0005-0000-0000-0000E11A0000}"/>
    <cellStyle name="Percentuale 33 3" xfId="1782" xr:uid="{00000000-0005-0000-0000-0000E21A0000}"/>
    <cellStyle name="Percentuale 33 3 2" xfId="1783" xr:uid="{00000000-0005-0000-0000-0000E31A0000}"/>
    <cellStyle name="Percentuale 33 3 2 2" xfId="4387" xr:uid="{00000000-0005-0000-0000-0000E41A0000}"/>
    <cellStyle name="Percentuale 33 3 2 3" xfId="5406" xr:uid="{00000000-0005-0000-0000-0000E51A0000}"/>
    <cellStyle name="Percentuale 33 3 3" xfId="1784" xr:uid="{00000000-0005-0000-0000-0000E61A0000}"/>
    <cellStyle name="Percentuale 33 3 3 2" xfId="3076" xr:uid="{00000000-0005-0000-0000-0000E71A0000}"/>
    <cellStyle name="Percentuale 33 3 4" xfId="3075" xr:uid="{00000000-0005-0000-0000-0000E81A0000}"/>
    <cellStyle name="Percentuale 33 4" xfId="1785" xr:uid="{00000000-0005-0000-0000-0000E91A0000}"/>
    <cellStyle name="Percentuale 33 4 2" xfId="1786" xr:uid="{00000000-0005-0000-0000-0000EA1A0000}"/>
    <cellStyle name="Percentuale 33 4 2 2" xfId="3078" xr:uid="{00000000-0005-0000-0000-0000EB1A0000}"/>
    <cellStyle name="Percentuale 33 4 3" xfId="3077" xr:uid="{00000000-0005-0000-0000-0000EC1A0000}"/>
    <cellStyle name="Percentuale 33 5" xfId="1787" xr:uid="{00000000-0005-0000-0000-0000ED1A0000}"/>
    <cellStyle name="Percentuale 34" xfId="385" xr:uid="{00000000-0005-0000-0000-0000EE1A0000}"/>
    <cellStyle name="Percentuale 34 2" xfId="620" xr:uid="{00000000-0005-0000-0000-0000EF1A0000}"/>
    <cellStyle name="Percentuale 34 2 2" xfId="3079" xr:uid="{00000000-0005-0000-0000-0000F01A0000}"/>
    <cellStyle name="Percentuale 34 3" xfId="1788" xr:uid="{00000000-0005-0000-0000-0000F11A0000}"/>
    <cellStyle name="Percentuale 34 3 2" xfId="1789" xr:uid="{00000000-0005-0000-0000-0000F21A0000}"/>
    <cellStyle name="Percentuale 34 3 2 2" xfId="4388" xr:uid="{00000000-0005-0000-0000-0000F31A0000}"/>
    <cellStyle name="Percentuale 34 3 2 3" xfId="5407" xr:uid="{00000000-0005-0000-0000-0000F41A0000}"/>
    <cellStyle name="Percentuale 34 3 3" xfId="1790" xr:uid="{00000000-0005-0000-0000-0000F51A0000}"/>
    <cellStyle name="Percentuale 34 3 3 2" xfId="3081" xr:uid="{00000000-0005-0000-0000-0000F61A0000}"/>
    <cellStyle name="Percentuale 34 3 4" xfId="3080" xr:uid="{00000000-0005-0000-0000-0000F71A0000}"/>
    <cellStyle name="Percentuale 34 4" xfId="1791" xr:uid="{00000000-0005-0000-0000-0000F81A0000}"/>
    <cellStyle name="Percentuale 34 4 2" xfId="1792" xr:uid="{00000000-0005-0000-0000-0000F91A0000}"/>
    <cellStyle name="Percentuale 34 4 2 2" xfId="3083" xr:uid="{00000000-0005-0000-0000-0000FA1A0000}"/>
    <cellStyle name="Percentuale 34 4 3" xfId="3082" xr:uid="{00000000-0005-0000-0000-0000FB1A0000}"/>
    <cellStyle name="Percentuale 34 5" xfId="1793" xr:uid="{00000000-0005-0000-0000-0000FC1A0000}"/>
    <cellStyle name="Percentuale 35" xfId="386" xr:uid="{00000000-0005-0000-0000-0000FD1A0000}"/>
    <cellStyle name="Percentuale 35 2" xfId="621" xr:uid="{00000000-0005-0000-0000-0000FE1A0000}"/>
    <cellStyle name="Percentuale 35 2 2" xfId="3084" xr:uid="{00000000-0005-0000-0000-0000FF1A0000}"/>
    <cellStyle name="Percentuale 35 3" xfId="1794" xr:uid="{00000000-0005-0000-0000-0000001B0000}"/>
    <cellStyle name="Percentuale 35 3 2" xfId="1795" xr:uid="{00000000-0005-0000-0000-0000011B0000}"/>
    <cellStyle name="Percentuale 35 3 2 2" xfId="4389" xr:uid="{00000000-0005-0000-0000-0000021B0000}"/>
    <cellStyle name="Percentuale 35 3 2 3" xfId="5408" xr:uid="{00000000-0005-0000-0000-0000031B0000}"/>
    <cellStyle name="Percentuale 35 3 3" xfId="1796" xr:uid="{00000000-0005-0000-0000-0000041B0000}"/>
    <cellStyle name="Percentuale 35 3 3 2" xfId="3086" xr:uid="{00000000-0005-0000-0000-0000051B0000}"/>
    <cellStyle name="Percentuale 35 3 4" xfId="3085" xr:uid="{00000000-0005-0000-0000-0000061B0000}"/>
    <cellStyle name="Percentuale 35 4" xfId="1797" xr:uid="{00000000-0005-0000-0000-0000071B0000}"/>
    <cellStyle name="Percentuale 35 4 2" xfId="1798" xr:uid="{00000000-0005-0000-0000-0000081B0000}"/>
    <cellStyle name="Percentuale 35 4 2 2" xfId="3088" xr:uid="{00000000-0005-0000-0000-0000091B0000}"/>
    <cellStyle name="Percentuale 35 4 3" xfId="3087" xr:uid="{00000000-0005-0000-0000-00000A1B0000}"/>
    <cellStyle name="Percentuale 35 5" xfId="1799" xr:uid="{00000000-0005-0000-0000-00000B1B0000}"/>
    <cellStyle name="Percentuale 36" xfId="387" xr:uid="{00000000-0005-0000-0000-00000C1B0000}"/>
    <cellStyle name="Percentuale 36 2" xfId="622" xr:uid="{00000000-0005-0000-0000-00000D1B0000}"/>
    <cellStyle name="Percentuale 36 2 2" xfId="3089" xr:uid="{00000000-0005-0000-0000-00000E1B0000}"/>
    <cellStyle name="Percentuale 36 3" xfId="1800" xr:uid="{00000000-0005-0000-0000-00000F1B0000}"/>
    <cellStyle name="Percentuale 36 3 2" xfId="1801" xr:uid="{00000000-0005-0000-0000-0000101B0000}"/>
    <cellStyle name="Percentuale 36 3 2 2" xfId="4390" xr:uid="{00000000-0005-0000-0000-0000111B0000}"/>
    <cellStyle name="Percentuale 36 3 2 3" xfId="5409" xr:uid="{00000000-0005-0000-0000-0000121B0000}"/>
    <cellStyle name="Percentuale 36 3 3" xfId="1802" xr:uid="{00000000-0005-0000-0000-0000131B0000}"/>
    <cellStyle name="Percentuale 36 3 3 2" xfId="3091" xr:uid="{00000000-0005-0000-0000-0000141B0000}"/>
    <cellStyle name="Percentuale 36 3 4" xfId="3090" xr:uid="{00000000-0005-0000-0000-0000151B0000}"/>
    <cellStyle name="Percentuale 36 4" xfId="1803" xr:uid="{00000000-0005-0000-0000-0000161B0000}"/>
    <cellStyle name="Percentuale 36 4 2" xfId="1804" xr:uid="{00000000-0005-0000-0000-0000171B0000}"/>
    <cellStyle name="Percentuale 36 4 2 2" xfId="3093" xr:uid="{00000000-0005-0000-0000-0000181B0000}"/>
    <cellStyle name="Percentuale 36 4 3" xfId="3092" xr:uid="{00000000-0005-0000-0000-0000191B0000}"/>
    <cellStyle name="Percentuale 36 5" xfId="1805" xr:uid="{00000000-0005-0000-0000-00001A1B0000}"/>
    <cellStyle name="Percentuale 37" xfId="388" xr:uid="{00000000-0005-0000-0000-00001B1B0000}"/>
    <cellStyle name="Percentuale 37 2" xfId="623" xr:uid="{00000000-0005-0000-0000-00001C1B0000}"/>
    <cellStyle name="Percentuale 37 2 2" xfId="3094" xr:uid="{00000000-0005-0000-0000-00001D1B0000}"/>
    <cellStyle name="Percentuale 37 3" xfId="1806" xr:uid="{00000000-0005-0000-0000-00001E1B0000}"/>
    <cellStyle name="Percentuale 37 3 2" xfId="1807" xr:uid="{00000000-0005-0000-0000-00001F1B0000}"/>
    <cellStyle name="Percentuale 37 3 2 2" xfId="4391" xr:uid="{00000000-0005-0000-0000-0000201B0000}"/>
    <cellStyle name="Percentuale 37 3 2 3" xfId="5410" xr:uid="{00000000-0005-0000-0000-0000211B0000}"/>
    <cellStyle name="Percentuale 37 3 3" xfId="1808" xr:uid="{00000000-0005-0000-0000-0000221B0000}"/>
    <cellStyle name="Percentuale 37 3 3 2" xfId="3096" xr:uid="{00000000-0005-0000-0000-0000231B0000}"/>
    <cellStyle name="Percentuale 37 3 4" xfId="3095" xr:uid="{00000000-0005-0000-0000-0000241B0000}"/>
    <cellStyle name="Percentuale 37 4" xfId="1809" xr:uid="{00000000-0005-0000-0000-0000251B0000}"/>
    <cellStyle name="Percentuale 37 4 2" xfId="1810" xr:uid="{00000000-0005-0000-0000-0000261B0000}"/>
    <cellStyle name="Percentuale 37 4 2 2" xfId="3098" xr:uid="{00000000-0005-0000-0000-0000271B0000}"/>
    <cellStyle name="Percentuale 37 4 3" xfId="3097" xr:uid="{00000000-0005-0000-0000-0000281B0000}"/>
    <cellStyle name="Percentuale 37 5" xfId="1811" xr:uid="{00000000-0005-0000-0000-0000291B0000}"/>
    <cellStyle name="Percentuale 38" xfId="389" xr:uid="{00000000-0005-0000-0000-00002A1B0000}"/>
    <cellStyle name="Percentuale 38 2" xfId="624" xr:uid="{00000000-0005-0000-0000-00002B1B0000}"/>
    <cellStyle name="Percentuale 38 2 2" xfId="3099" xr:uid="{00000000-0005-0000-0000-00002C1B0000}"/>
    <cellStyle name="Percentuale 38 3" xfId="1812" xr:uid="{00000000-0005-0000-0000-00002D1B0000}"/>
    <cellStyle name="Percentuale 38 3 2" xfId="1813" xr:uid="{00000000-0005-0000-0000-00002E1B0000}"/>
    <cellStyle name="Percentuale 38 3 2 2" xfId="4392" xr:uid="{00000000-0005-0000-0000-00002F1B0000}"/>
    <cellStyle name="Percentuale 38 3 2 3" xfId="5411" xr:uid="{00000000-0005-0000-0000-0000301B0000}"/>
    <cellStyle name="Percentuale 38 3 3" xfId="1814" xr:uid="{00000000-0005-0000-0000-0000311B0000}"/>
    <cellStyle name="Percentuale 38 3 3 2" xfId="3101" xr:uid="{00000000-0005-0000-0000-0000321B0000}"/>
    <cellStyle name="Percentuale 38 3 4" xfId="3100" xr:uid="{00000000-0005-0000-0000-0000331B0000}"/>
    <cellStyle name="Percentuale 38 4" xfId="1815" xr:uid="{00000000-0005-0000-0000-0000341B0000}"/>
    <cellStyle name="Percentuale 38 4 2" xfId="1816" xr:uid="{00000000-0005-0000-0000-0000351B0000}"/>
    <cellStyle name="Percentuale 38 4 2 2" xfId="3103" xr:uid="{00000000-0005-0000-0000-0000361B0000}"/>
    <cellStyle name="Percentuale 38 4 3" xfId="3102" xr:uid="{00000000-0005-0000-0000-0000371B0000}"/>
    <cellStyle name="Percentuale 38 5" xfId="1817" xr:uid="{00000000-0005-0000-0000-0000381B0000}"/>
    <cellStyle name="Percentuale 39" xfId="390" xr:uid="{00000000-0005-0000-0000-0000391B0000}"/>
    <cellStyle name="Percentuale 39 2" xfId="625" xr:uid="{00000000-0005-0000-0000-00003A1B0000}"/>
    <cellStyle name="Percentuale 39 2 2" xfId="3104" xr:uid="{00000000-0005-0000-0000-00003B1B0000}"/>
    <cellStyle name="Percentuale 39 3" xfId="1818" xr:uid="{00000000-0005-0000-0000-00003C1B0000}"/>
    <cellStyle name="Percentuale 39 3 2" xfId="1819" xr:uid="{00000000-0005-0000-0000-00003D1B0000}"/>
    <cellStyle name="Percentuale 39 3 2 2" xfId="4393" xr:uid="{00000000-0005-0000-0000-00003E1B0000}"/>
    <cellStyle name="Percentuale 39 3 2 3" xfId="5412" xr:uid="{00000000-0005-0000-0000-00003F1B0000}"/>
    <cellStyle name="Percentuale 39 3 3" xfId="1820" xr:uid="{00000000-0005-0000-0000-0000401B0000}"/>
    <cellStyle name="Percentuale 39 3 3 2" xfId="3106" xr:uid="{00000000-0005-0000-0000-0000411B0000}"/>
    <cellStyle name="Percentuale 39 3 4" xfId="3105" xr:uid="{00000000-0005-0000-0000-0000421B0000}"/>
    <cellStyle name="Percentuale 39 4" xfId="1821" xr:uid="{00000000-0005-0000-0000-0000431B0000}"/>
    <cellStyle name="Percentuale 39 4 2" xfId="1822" xr:uid="{00000000-0005-0000-0000-0000441B0000}"/>
    <cellStyle name="Percentuale 39 4 2 2" xfId="3108" xr:uid="{00000000-0005-0000-0000-0000451B0000}"/>
    <cellStyle name="Percentuale 39 4 3" xfId="3107" xr:uid="{00000000-0005-0000-0000-0000461B0000}"/>
    <cellStyle name="Percentuale 39 5" xfId="1823" xr:uid="{00000000-0005-0000-0000-0000471B0000}"/>
    <cellStyle name="Percentuale 4" xfId="391" xr:uid="{00000000-0005-0000-0000-0000481B0000}"/>
    <cellStyle name="Percentuale 4 2" xfId="626" xr:uid="{00000000-0005-0000-0000-0000491B0000}"/>
    <cellStyle name="Percentuale 4 2 2" xfId="3109" xr:uid="{00000000-0005-0000-0000-00004A1B0000}"/>
    <cellStyle name="Percentuale 4 3" xfId="1824" xr:uid="{00000000-0005-0000-0000-00004B1B0000}"/>
    <cellStyle name="Percentuale 4 3 2" xfId="1825" xr:uid="{00000000-0005-0000-0000-00004C1B0000}"/>
    <cellStyle name="Percentuale 4 3 2 2" xfId="4394" xr:uid="{00000000-0005-0000-0000-00004D1B0000}"/>
    <cellStyle name="Percentuale 4 3 2 3" xfId="5413" xr:uid="{00000000-0005-0000-0000-00004E1B0000}"/>
    <cellStyle name="Percentuale 4 3 3" xfId="1826" xr:uid="{00000000-0005-0000-0000-00004F1B0000}"/>
    <cellStyle name="Percentuale 4 3 3 2" xfId="3111" xr:uid="{00000000-0005-0000-0000-0000501B0000}"/>
    <cellStyle name="Percentuale 4 3 4" xfId="3110" xr:uid="{00000000-0005-0000-0000-0000511B0000}"/>
    <cellStyle name="Percentuale 4 4" xfId="1827" xr:uid="{00000000-0005-0000-0000-0000521B0000}"/>
    <cellStyle name="Percentuale 4 4 2" xfId="1828" xr:uid="{00000000-0005-0000-0000-0000531B0000}"/>
    <cellStyle name="Percentuale 4 4 2 2" xfId="3113" xr:uid="{00000000-0005-0000-0000-0000541B0000}"/>
    <cellStyle name="Percentuale 4 4 3" xfId="3112" xr:uid="{00000000-0005-0000-0000-0000551B0000}"/>
    <cellStyle name="Percentuale 4 5" xfId="1829" xr:uid="{00000000-0005-0000-0000-0000561B0000}"/>
    <cellStyle name="Percentuale 40" xfId="392" xr:uid="{00000000-0005-0000-0000-0000571B0000}"/>
    <cellStyle name="Percentuale 40 2" xfId="627" xr:uid="{00000000-0005-0000-0000-0000581B0000}"/>
    <cellStyle name="Percentuale 40 2 2" xfId="3114" xr:uid="{00000000-0005-0000-0000-0000591B0000}"/>
    <cellStyle name="Percentuale 40 3" xfId="1830" xr:uid="{00000000-0005-0000-0000-00005A1B0000}"/>
    <cellStyle name="Percentuale 40 3 2" xfId="1831" xr:uid="{00000000-0005-0000-0000-00005B1B0000}"/>
    <cellStyle name="Percentuale 40 3 2 2" xfId="4395" xr:uid="{00000000-0005-0000-0000-00005C1B0000}"/>
    <cellStyle name="Percentuale 40 3 2 3" xfId="5414" xr:uid="{00000000-0005-0000-0000-00005D1B0000}"/>
    <cellStyle name="Percentuale 40 3 3" xfId="1832" xr:uid="{00000000-0005-0000-0000-00005E1B0000}"/>
    <cellStyle name="Percentuale 40 3 3 2" xfId="3116" xr:uid="{00000000-0005-0000-0000-00005F1B0000}"/>
    <cellStyle name="Percentuale 40 3 4" xfId="3115" xr:uid="{00000000-0005-0000-0000-0000601B0000}"/>
    <cellStyle name="Percentuale 40 4" xfId="1833" xr:uid="{00000000-0005-0000-0000-0000611B0000}"/>
    <cellStyle name="Percentuale 40 4 2" xfId="1834" xr:uid="{00000000-0005-0000-0000-0000621B0000}"/>
    <cellStyle name="Percentuale 40 4 2 2" xfId="3118" xr:uid="{00000000-0005-0000-0000-0000631B0000}"/>
    <cellStyle name="Percentuale 40 4 3" xfId="3117" xr:uid="{00000000-0005-0000-0000-0000641B0000}"/>
    <cellStyle name="Percentuale 40 5" xfId="1835" xr:uid="{00000000-0005-0000-0000-0000651B0000}"/>
    <cellStyle name="Percentuale 41" xfId="393" xr:uid="{00000000-0005-0000-0000-0000661B0000}"/>
    <cellStyle name="Percentuale 41 2" xfId="628" xr:uid="{00000000-0005-0000-0000-0000671B0000}"/>
    <cellStyle name="Percentuale 41 2 2" xfId="3119" xr:uid="{00000000-0005-0000-0000-0000681B0000}"/>
    <cellStyle name="Percentuale 41 3" xfId="1836" xr:uid="{00000000-0005-0000-0000-0000691B0000}"/>
    <cellStyle name="Percentuale 41 3 2" xfId="1837" xr:uid="{00000000-0005-0000-0000-00006A1B0000}"/>
    <cellStyle name="Percentuale 41 3 2 2" xfId="4396" xr:uid="{00000000-0005-0000-0000-00006B1B0000}"/>
    <cellStyle name="Percentuale 41 3 2 3" xfId="5415" xr:uid="{00000000-0005-0000-0000-00006C1B0000}"/>
    <cellStyle name="Percentuale 41 3 3" xfId="1838" xr:uid="{00000000-0005-0000-0000-00006D1B0000}"/>
    <cellStyle name="Percentuale 41 3 3 2" xfId="3121" xr:uid="{00000000-0005-0000-0000-00006E1B0000}"/>
    <cellStyle name="Percentuale 41 3 4" xfId="3120" xr:uid="{00000000-0005-0000-0000-00006F1B0000}"/>
    <cellStyle name="Percentuale 41 4" xfId="1839" xr:uid="{00000000-0005-0000-0000-0000701B0000}"/>
    <cellStyle name="Percentuale 41 4 2" xfId="1840" xr:uid="{00000000-0005-0000-0000-0000711B0000}"/>
    <cellStyle name="Percentuale 41 4 2 2" xfId="3123" xr:uid="{00000000-0005-0000-0000-0000721B0000}"/>
    <cellStyle name="Percentuale 41 4 3" xfId="3122" xr:uid="{00000000-0005-0000-0000-0000731B0000}"/>
    <cellStyle name="Percentuale 41 5" xfId="1841" xr:uid="{00000000-0005-0000-0000-0000741B0000}"/>
    <cellStyle name="Percentuale 42" xfId="394" xr:uid="{00000000-0005-0000-0000-0000751B0000}"/>
    <cellStyle name="Percentuale 42 2" xfId="629" xr:uid="{00000000-0005-0000-0000-0000761B0000}"/>
    <cellStyle name="Percentuale 42 2 2" xfId="3124" xr:uid="{00000000-0005-0000-0000-0000771B0000}"/>
    <cellStyle name="Percentuale 42 3" xfId="1842" xr:uid="{00000000-0005-0000-0000-0000781B0000}"/>
    <cellStyle name="Percentuale 42 3 2" xfId="1843" xr:uid="{00000000-0005-0000-0000-0000791B0000}"/>
    <cellStyle name="Percentuale 42 3 2 2" xfId="4397" xr:uid="{00000000-0005-0000-0000-00007A1B0000}"/>
    <cellStyle name="Percentuale 42 3 2 3" xfId="5416" xr:uid="{00000000-0005-0000-0000-00007B1B0000}"/>
    <cellStyle name="Percentuale 42 3 3" xfId="1844" xr:uid="{00000000-0005-0000-0000-00007C1B0000}"/>
    <cellStyle name="Percentuale 42 3 3 2" xfId="3126" xr:uid="{00000000-0005-0000-0000-00007D1B0000}"/>
    <cellStyle name="Percentuale 42 3 4" xfId="3125" xr:uid="{00000000-0005-0000-0000-00007E1B0000}"/>
    <cellStyle name="Percentuale 42 4" xfId="1845" xr:uid="{00000000-0005-0000-0000-00007F1B0000}"/>
    <cellStyle name="Percentuale 42 4 2" xfId="1846" xr:uid="{00000000-0005-0000-0000-0000801B0000}"/>
    <cellStyle name="Percentuale 42 4 2 2" xfId="3128" xr:uid="{00000000-0005-0000-0000-0000811B0000}"/>
    <cellStyle name="Percentuale 42 4 3" xfId="3127" xr:uid="{00000000-0005-0000-0000-0000821B0000}"/>
    <cellStyle name="Percentuale 42 5" xfId="1847" xr:uid="{00000000-0005-0000-0000-0000831B0000}"/>
    <cellStyle name="Percentuale 43" xfId="395" xr:uid="{00000000-0005-0000-0000-0000841B0000}"/>
    <cellStyle name="Percentuale 43 2" xfId="630" xr:uid="{00000000-0005-0000-0000-0000851B0000}"/>
    <cellStyle name="Percentuale 43 2 2" xfId="3129" xr:uid="{00000000-0005-0000-0000-0000861B0000}"/>
    <cellStyle name="Percentuale 43 3" xfId="1848" xr:uid="{00000000-0005-0000-0000-0000871B0000}"/>
    <cellStyle name="Percentuale 43 3 2" xfId="1849" xr:uid="{00000000-0005-0000-0000-0000881B0000}"/>
    <cellStyle name="Percentuale 43 3 2 2" xfId="4398" xr:uid="{00000000-0005-0000-0000-0000891B0000}"/>
    <cellStyle name="Percentuale 43 3 2 3" xfId="5417" xr:uid="{00000000-0005-0000-0000-00008A1B0000}"/>
    <cellStyle name="Percentuale 43 3 3" xfId="1850" xr:uid="{00000000-0005-0000-0000-00008B1B0000}"/>
    <cellStyle name="Percentuale 43 3 3 2" xfId="3131" xr:uid="{00000000-0005-0000-0000-00008C1B0000}"/>
    <cellStyle name="Percentuale 43 3 4" xfId="3130" xr:uid="{00000000-0005-0000-0000-00008D1B0000}"/>
    <cellStyle name="Percentuale 43 4" xfId="1851" xr:uid="{00000000-0005-0000-0000-00008E1B0000}"/>
    <cellStyle name="Percentuale 43 4 2" xfId="1852" xr:uid="{00000000-0005-0000-0000-00008F1B0000}"/>
    <cellStyle name="Percentuale 43 4 2 2" xfId="3133" xr:uid="{00000000-0005-0000-0000-0000901B0000}"/>
    <cellStyle name="Percentuale 43 4 3" xfId="3132" xr:uid="{00000000-0005-0000-0000-0000911B0000}"/>
    <cellStyle name="Percentuale 43 5" xfId="1853" xr:uid="{00000000-0005-0000-0000-0000921B0000}"/>
    <cellStyle name="Percentuale 44" xfId="396" xr:uid="{00000000-0005-0000-0000-0000931B0000}"/>
    <cellStyle name="Percentuale 44 2" xfId="631" xr:uid="{00000000-0005-0000-0000-0000941B0000}"/>
    <cellStyle name="Percentuale 44 2 2" xfId="3134" xr:uid="{00000000-0005-0000-0000-0000951B0000}"/>
    <cellStyle name="Percentuale 44 3" xfId="1854" xr:uid="{00000000-0005-0000-0000-0000961B0000}"/>
    <cellStyle name="Percentuale 44 3 2" xfId="1855" xr:uid="{00000000-0005-0000-0000-0000971B0000}"/>
    <cellStyle name="Percentuale 44 3 2 2" xfId="4399" xr:uid="{00000000-0005-0000-0000-0000981B0000}"/>
    <cellStyle name="Percentuale 44 3 2 3" xfId="5418" xr:uid="{00000000-0005-0000-0000-0000991B0000}"/>
    <cellStyle name="Percentuale 44 3 3" xfId="1856" xr:uid="{00000000-0005-0000-0000-00009A1B0000}"/>
    <cellStyle name="Percentuale 44 3 3 2" xfId="3136" xr:uid="{00000000-0005-0000-0000-00009B1B0000}"/>
    <cellStyle name="Percentuale 44 3 4" xfId="3135" xr:uid="{00000000-0005-0000-0000-00009C1B0000}"/>
    <cellStyle name="Percentuale 44 4" xfId="1857" xr:uid="{00000000-0005-0000-0000-00009D1B0000}"/>
    <cellStyle name="Percentuale 44 4 2" xfId="1858" xr:uid="{00000000-0005-0000-0000-00009E1B0000}"/>
    <cellStyle name="Percentuale 44 4 2 2" xfId="3138" xr:uid="{00000000-0005-0000-0000-00009F1B0000}"/>
    <cellStyle name="Percentuale 44 4 3" xfId="3137" xr:uid="{00000000-0005-0000-0000-0000A01B0000}"/>
    <cellStyle name="Percentuale 44 5" xfId="1859" xr:uid="{00000000-0005-0000-0000-0000A11B0000}"/>
    <cellStyle name="Percentuale 45" xfId="397" xr:uid="{00000000-0005-0000-0000-0000A21B0000}"/>
    <cellStyle name="Percentuale 45 2" xfId="632" xr:uid="{00000000-0005-0000-0000-0000A31B0000}"/>
    <cellStyle name="Percentuale 45 2 2" xfId="3139" xr:uid="{00000000-0005-0000-0000-0000A41B0000}"/>
    <cellStyle name="Percentuale 45 3" xfId="1860" xr:uid="{00000000-0005-0000-0000-0000A51B0000}"/>
    <cellStyle name="Percentuale 45 3 2" xfId="1861" xr:uid="{00000000-0005-0000-0000-0000A61B0000}"/>
    <cellStyle name="Percentuale 45 3 2 2" xfId="4400" xr:uid="{00000000-0005-0000-0000-0000A71B0000}"/>
    <cellStyle name="Percentuale 45 3 2 3" xfId="5419" xr:uid="{00000000-0005-0000-0000-0000A81B0000}"/>
    <cellStyle name="Percentuale 45 3 3" xfId="1862" xr:uid="{00000000-0005-0000-0000-0000A91B0000}"/>
    <cellStyle name="Percentuale 45 3 3 2" xfId="3141" xr:uid="{00000000-0005-0000-0000-0000AA1B0000}"/>
    <cellStyle name="Percentuale 45 3 4" xfId="3140" xr:uid="{00000000-0005-0000-0000-0000AB1B0000}"/>
    <cellStyle name="Percentuale 45 4" xfId="1863" xr:uid="{00000000-0005-0000-0000-0000AC1B0000}"/>
    <cellStyle name="Percentuale 45 4 2" xfId="1864" xr:uid="{00000000-0005-0000-0000-0000AD1B0000}"/>
    <cellStyle name="Percentuale 45 4 2 2" xfId="3143" xr:uid="{00000000-0005-0000-0000-0000AE1B0000}"/>
    <cellStyle name="Percentuale 45 4 3" xfId="3142" xr:uid="{00000000-0005-0000-0000-0000AF1B0000}"/>
    <cellStyle name="Percentuale 45 5" xfId="1865" xr:uid="{00000000-0005-0000-0000-0000B01B0000}"/>
    <cellStyle name="Percentuale 46" xfId="398" xr:uid="{00000000-0005-0000-0000-0000B11B0000}"/>
    <cellStyle name="Percentuale 46 2" xfId="633" xr:uid="{00000000-0005-0000-0000-0000B21B0000}"/>
    <cellStyle name="Percentuale 46 2 2" xfId="3144" xr:uid="{00000000-0005-0000-0000-0000B31B0000}"/>
    <cellStyle name="Percentuale 46 3" xfId="1866" xr:uid="{00000000-0005-0000-0000-0000B41B0000}"/>
    <cellStyle name="Percentuale 46 3 2" xfId="1867" xr:uid="{00000000-0005-0000-0000-0000B51B0000}"/>
    <cellStyle name="Percentuale 46 3 2 2" xfId="4401" xr:uid="{00000000-0005-0000-0000-0000B61B0000}"/>
    <cellStyle name="Percentuale 46 3 2 3" xfId="5420" xr:uid="{00000000-0005-0000-0000-0000B71B0000}"/>
    <cellStyle name="Percentuale 46 3 3" xfId="1868" xr:uid="{00000000-0005-0000-0000-0000B81B0000}"/>
    <cellStyle name="Percentuale 46 3 3 2" xfId="3146" xr:uid="{00000000-0005-0000-0000-0000B91B0000}"/>
    <cellStyle name="Percentuale 46 3 4" xfId="3145" xr:uid="{00000000-0005-0000-0000-0000BA1B0000}"/>
    <cellStyle name="Percentuale 46 4" xfId="1869" xr:uid="{00000000-0005-0000-0000-0000BB1B0000}"/>
    <cellStyle name="Percentuale 46 4 2" xfId="1870" xr:uid="{00000000-0005-0000-0000-0000BC1B0000}"/>
    <cellStyle name="Percentuale 46 4 2 2" xfId="3148" xr:uid="{00000000-0005-0000-0000-0000BD1B0000}"/>
    <cellStyle name="Percentuale 46 4 3" xfId="3147" xr:uid="{00000000-0005-0000-0000-0000BE1B0000}"/>
    <cellStyle name="Percentuale 46 5" xfId="1871" xr:uid="{00000000-0005-0000-0000-0000BF1B0000}"/>
    <cellStyle name="Percentuale 47" xfId="399" xr:uid="{00000000-0005-0000-0000-0000C01B0000}"/>
    <cellStyle name="Percentuale 47 2" xfId="634" xr:uid="{00000000-0005-0000-0000-0000C11B0000}"/>
    <cellStyle name="Percentuale 47 2 2" xfId="3149" xr:uid="{00000000-0005-0000-0000-0000C21B0000}"/>
    <cellStyle name="Percentuale 47 3" xfId="1872" xr:uid="{00000000-0005-0000-0000-0000C31B0000}"/>
    <cellStyle name="Percentuale 47 3 2" xfId="1873" xr:uid="{00000000-0005-0000-0000-0000C41B0000}"/>
    <cellStyle name="Percentuale 47 3 2 2" xfId="4402" xr:uid="{00000000-0005-0000-0000-0000C51B0000}"/>
    <cellStyle name="Percentuale 47 3 2 3" xfId="5421" xr:uid="{00000000-0005-0000-0000-0000C61B0000}"/>
    <cellStyle name="Percentuale 47 3 3" xfId="1874" xr:uid="{00000000-0005-0000-0000-0000C71B0000}"/>
    <cellStyle name="Percentuale 47 3 3 2" xfId="3151" xr:uid="{00000000-0005-0000-0000-0000C81B0000}"/>
    <cellStyle name="Percentuale 47 3 4" xfId="3150" xr:uid="{00000000-0005-0000-0000-0000C91B0000}"/>
    <cellStyle name="Percentuale 47 4" xfId="1875" xr:uid="{00000000-0005-0000-0000-0000CA1B0000}"/>
    <cellStyle name="Percentuale 47 4 2" xfId="1876" xr:uid="{00000000-0005-0000-0000-0000CB1B0000}"/>
    <cellStyle name="Percentuale 47 4 2 2" xfId="3153" xr:uid="{00000000-0005-0000-0000-0000CC1B0000}"/>
    <cellStyle name="Percentuale 47 4 3" xfId="3152" xr:uid="{00000000-0005-0000-0000-0000CD1B0000}"/>
    <cellStyle name="Percentuale 47 5" xfId="1877" xr:uid="{00000000-0005-0000-0000-0000CE1B0000}"/>
    <cellStyle name="Percentuale 48" xfId="400" xr:uid="{00000000-0005-0000-0000-0000CF1B0000}"/>
    <cellStyle name="Percentuale 48 2" xfId="635" xr:uid="{00000000-0005-0000-0000-0000D01B0000}"/>
    <cellStyle name="Percentuale 48 2 2" xfId="3154" xr:uid="{00000000-0005-0000-0000-0000D11B0000}"/>
    <cellStyle name="Percentuale 48 3" xfId="1878" xr:uid="{00000000-0005-0000-0000-0000D21B0000}"/>
    <cellStyle name="Percentuale 48 3 2" xfId="1879" xr:uid="{00000000-0005-0000-0000-0000D31B0000}"/>
    <cellStyle name="Percentuale 48 3 2 2" xfId="4403" xr:uid="{00000000-0005-0000-0000-0000D41B0000}"/>
    <cellStyle name="Percentuale 48 3 2 3" xfId="5422" xr:uid="{00000000-0005-0000-0000-0000D51B0000}"/>
    <cellStyle name="Percentuale 48 3 3" xfId="1880" xr:uid="{00000000-0005-0000-0000-0000D61B0000}"/>
    <cellStyle name="Percentuale 48 3 3 2" xfId="3156" xr:uid="{00000000-0005-0000-0000-0000D71B0000}"/>
    <cellStyle name="Percentuale 48 3 4" xfId="3155" xr:uid="{00000000-0005-0000-0000-0000D81B0000}"/>
    <cellStyle name="Percentuale 48 4" xfId="1881" xr:uid="{00000000-0005-0000-0000-0000D91B0000}"/>
    <cellStyle name="Percentuale 48 4 2" xfId="1882" xr:uid="{00000000-0005-0000-0000-0000DA1B0000}"/>
    <cellStyle name="Percentuale 48 4 2 2" xfId="3158" xr:uid="{00000000-0005-0000-0000-0000DB1B0000}"/>
    <cellStyle name="Percentuale 48 4 3" xfId="3157" xr:uid="{00000000-0005-0000-0000-0000DC1B0000}"/>
    <cellStyle name="Percentuale 48 5" xfId="1883" xr:uid="{00000000-0005-0000-0000-0000DD1B0000}"/>
    <cellStyle name="Percentuale 49" xfId="401" xr:uid="{00000000-0005-0000-0000-0000DE1B0000}"/>
    <cellStyle name="Percentuale 49 2" xfId="636" xr:uid="{00000000-0005-0000-0000-0000DF1B0000}"/>
    <cellStyle name="Percentuale 49 2 2" xfId="3159" xr:uid="{00000000-0005-0000-0000-0000E01B0000}"/>
    <cellStyle name="Percentuale 49 3" xfId="1884" xr:uid="{00000000-0005-0000-0000-0000E11B0000}"/>
    <cellStyle name="Percentuale 49 3 2" xfId="1885" xr:uid="{00000000-0005-0000-0000-0000E21B0000}"/>
    <cellStyle name="Percentuale 49 3 2 2" xfId="4404" xr:uid="{00000000-0005-0000-0000-0000E31B0000}"/>
    <cellStyle name="Percentuale 49 3 2 3" xfId="5423" xr:uid="{00000000-0005-0000-0000-0000E41B0000}"/>
    <cellStyle name="Percentuale 49 3 3" xfId="1886" xr:uid="{00000000-0005-0000-0000-0000E51B0000}"/>
    <cellStyle name="Percentuale 49 3 3 2" xfId="3161" xr:uid="{00000000-0005-0000-0000-0000E61B0000}"/>
    <cellStyle name="Percentuale 49 3 4" xfId="3160" xr:uid="{00000000-0005-0000-0000-0000E71B0000}"/>
    <cellStyle name="Percentuale 49 4" xfId="1887" xr:uid="{00000000-0005-0000-0000-0000E81B0000}"/>
    <cellStyle name="Percentuale 49 4 2" xfId="1888" xr:uid="{00000000-0005-0000-0000-0000E91B0000}"/>
    <cellStyle name="Percentuale 49 4 2 2" xfId="3163" xr:uid="{00000000-0005-0000-0000-0000EA1B0000}"/>
    <cellStyle name="Percentuale 49 4 3" xfId="3162" xr:uid="{00000000-0005-0000-0000-0000EB1B0000}"/>
    <cellStyle name="Percentuale 49 5" xfId="1889" xr:uid="{00000000-0005-0000-0000-0000EC1B0000}"/>
    <cellStyle name="Percentuale 5" xfId="402" xr:uid="{00000000-0005-0000-0000-0000ED1B0000}"/>
    <cellStyle name="Percentuale 5 2" xfId="637" xr:uid="{00000000-0005-0000-0000-0000EE1B0000}"/>
    <cellStyle name="Percentuale 5 2 2" xfId="3164" xr:uid="{00000000-0005-0000-0000-0000EF1B0000}"/>
    <cellStyle name="Percentuale 5 3" xfId="1890" xr:uid="{00000000-0005-0000-0000-0000F01B0000}"/>
    <cellStyle name="Percentuale 5 3 2" xfId="1891" xr:uid="{00000000-0005-0000-0000-0000F11B0000}"/>
    <cellStyle name="Percentuale 5 3 2 2" xfId="4405" xr:uid="{00000000-0005-0000-0000-0000F21B0000}"/>
    <cellStyle name="Percentuale 5 3 2 3" xfId="5424" xr:uid="{00000000-0005-0000-0000-0000F31B0000}"/>
    <cellStyle name="Percentuale 5 3 3" xfId="1892" xr:uid="{00000000-0005-0000-0000-0000F41B0000}"/>
    <cellStyle name="Percentuale 5 3 3 2" xfId="3166" xr:uid="{00000000-0005-0000-0000-0000F51B0000}"/>
    <cellStyle name="Percentuale 5 3 4" xfId="3165" xr:uid="{00000000-0005-0000-0000-0000F61B0000}"/>
    <cellStyle name="Percentuale 5 4" xfId="1893" xr:uid="{00000000-0005-0000-0000-0000F71B0000}"/>
    <cellStyle name="Percentuale 5 4 2" xfId="1894" xr:uid="{00000000-0005-0000-0000-0000F81B0000}"/>
    <cellStyle name="Percentuale 5 4 2 2" xfId="3168" xr:uid="{00000000-0005-0000-0000-0000F91B0000}"/>
    <cellStyle name="Percentuale 5 4 3" xfId="3167" xr:uid="{00000000-0005-0000-0000-0000FA1B0000}"/>
    <cellStyle name="Percentuale 5 5" xfId="1895" xr:uid="{00000000-0005-0000-0000-0000FB1B0000}"/>
    <cellStyle name="Percentuale 50" xfId="403" xr:uid="{00000000-0005-0000-0000-0000FC1B0000}"/>
    <cellStyle name="Percentuale 50 2" xfId="638" xr:uid="{00000000-0005-0000-0000-0000FD1B0000}"/>
    <cellStyle name="Percentuale 50 2 2" xfId="3169" xr:uid="{00000000-0005-0000-0000-0000FE1B0000}"/>
    <cellStyle name="Percentuale 50 3" xfId="1896" xr:uid="{00000000-0005-0000-0000-0000FF1B0000}"/>
    <cellStyle name="Percentuale 50 3 2" xfId="1897" xr:uid="{00000000-0005-0000-0000-0000001C0000}"/>
    <cellStyle name="Percentuale 50 3 2 2" xfId="4406" xr:uid="{00000000-0005-0000-0000-0000011C0000}"/>
    <cellStyle name="Percentuale 50 3 2 3" xfId="5425" xr:uid="{00000000-0005-0000-0000-0000021C0000}"/>
    <cellStyle name="Percentuale 50 3 3" xfId="1898" xr:uid="{00000000-0005-0000-0000-0000031C0000}"/>
    <cellStyle name="Percentuale 50 3 3 2" xfId="3171" xr:uid="{00000000-0005-0000-0000-0000041C0000}"/>
    <cellStyle name="Percentuale 50 3 4" xfId="3170" xr:uid="{00000000-0005-0000-0000-0000051C0000}"/>
    <cellStyle name="Percentuale 50 4" xfId="1899" xr:uid="{00000000-0005-0000-0000-0000061C0000}"/>
    <cellStyle name="Percentuale 50 4 2" xfId="1900" xr:uid="{00000000-0005-0000-0000-0000071C0000}"/>
    <cellStyle name="Percentuale 50 4 2 2" xfId="3173" xr:uid="{00000000-0005-0000-0000-0000081C0000}"/>
    <cellStyle name="Percentuale 50 4 3" xfId="3172" xr:uid="{00000000-0005-0000-0000-0000091C0000}"/>
    <cellStyle name="Percentuale 50 5" xfId="1901" xr:uid="{00000000-0005-0000-0000-00000A1C0000}"/>
    <cellStyle name="Percentuale 51" xfId="404" xr:uid="{00000000-0005-0000-0000-00000B1C0000}"/>
    <cellStyle name="Percentuale 51 2" xfId="639" xr:uid="{00000000-0005-0000-0000-00000C1C0000}"/>
    <cellStyle name="Percentuale 51 2 2" xfId="3174" xr:uid="{00000000-0005-0000-0000-00000D1C0000}"/>
    <cellStyle name="Percentuale 51 3" xfId="1902" xr:uid="{00000000-0005-0000-0000-00000E1C0000}"/>
    <cellStyle name="Percentuale 51 3 2" xfId="1903" xr:uid="{00000000-0005-0000-0000-00000F1C0000}"/>
    <cellStyle name="Percentuale 51 3 2 2" xfId="4407" xr:uid="{00000000-0005-0000-0000-0000101C0000}"/>
    <cellStyle name="Percentuale 51 3 2 3" xfId="5426" xr:uid="{00000000-0005-0000-0000-0000111C0000}"/>
    <cellStyle name="Percentuale 51 3 3" xfId="1904" xr:uid="{00000000-0005-0000-0000-0000121C0000}"/>
    <cellStyle name="Percentuale 51 3 3 2" xfId="3176" xr:uid="{00000000-0005-0000-0000-0000131C0000}"/>
    <cellStyle name="Percentuale 51 3 4" xfId="3175" xr:uid="{00000000-0005-0000-0000-0000141C0000}"/>
    <cellStyle name="Percentuale 51 4" xfId="1905" xr:uid="{00000000-0005-0000-0000-0000151C0000}"/>
    <cellStyle name="Percentuale 51 4 2" xfId="1906" xr:uid="{00000000-0005-0000-0000-0000161C0000}"/>
    <cellStyle name="Percentuale 51 4 2 2" xfId="3178" xr:uid="{00000000-0005-0000-0000-0000171C0000}"/>
    <cellStyle name="Percentuale 51 4 3" xfId="3177" xr:uid="{00000000-0005-0000-0000-0000181C0000}"/>
    <cellStyle name="Percentuale 51 5" xfId="1907" xr:uid="{00000000-0005-0000-0000-0000191C0000}"/>
    <cellStyle name="Percentuale 52" xfId="405" xr:uid="{00000000-0005-0000-0000-00001A1C0000}"/>
    <cellStyle name="Percentuale 52 2" xfId="640" xr:uid="{00000000-0005-0000-0000-00001B1C0000}"/>
    <cellStyle name="Percentuale 52 2 2" xfId="3179" xr:uid="{00000000-0005-0000-0000-00001C1C0000}"/>
    <cellStyle name="Percentuale 52 3" xfId="1908" xr:uid="{00000000-0005-0000-0000-00001D1C0000}"/>
    <cellStyle name="Percentuale 52 3 2" xfId="1909" xr:uid="{00000000-0005-0000-0000-00001E1C0000}"/>
    <cellStyle name="Percentuale 52 3 2 2" xfId="4408" xr:uid="{00000000-0005-0000-0000-00001F1C0000}"/>
    <cellStyle name="Percentuale 52 3 2 3" xfId="5427" xr:uid="{00000000-0005-0000-0000-0000201C0000}"/>
    <cellStyle name="Percentuale 52 3 3" xfId="1910" xr:uid="{00000000-0005-0000-0000-0000211C0000}"/>
    <cellStyle name="Percentuale 52 3 3 2" xfId="3181" xr:uid="{00000000-0005-0000-0000-0000221C0000}"/>
    <cellStyle name="Percentuale 52 3 4" xfId="3180" xr:uid="{00000000-0005-0000-0000-0000231C0000}"/>
    <cellStyle name="Percentuale 52 4" xfId="1911" xr:uid="{00000000-0005-0000-0000-0000241C0000}"/>
    <cellStyle name="Percentuale 52 4 2" xfId="1912" xr:uid="{00000000-0005-0000-0000-0000251C0000}"/>
    <cellStyle name="Percentuale 52 4 2 2" xfId="3183" xr:uid="{00000000-0005-0000-0000-0000261C0000}"/>
    <cellStyle name="Percentuale 52 4 3" xfId="3182" xr:uid="{00000000-0005-0000-0000-0000271C0000}"/>
    <cellStyle name="Percentuale 52 5" xfId="1913" xr:uid="{00000000-0005-0000-0000-0000281C0000}"/>
    <cellStyle name="Percentuale 53" xfId="406" xr:uid="{00000000-0005-0000-0000-0000291C0000}"/>
    <cellStyle name="Percentuale 53 2" xfId="641" xr:uid="{00000000-0005-0000-0000-00002A1C0000}"/>
    <cellStyle name="Percentuale 53 2 2" xfId="3184" xr:uid="{00000000-0005-0000-0000-00002B1C0000}"/>
    <cellStyle name="Percentuale 53 3" xfId="1914" xr:uid="{00000000-0005-0000-0000-00002C1C0000}"/>
    <cellStyle name="Percentuale 53 3 2" xfId="1915" xr:uid="{00000000-0005-0000-0000-00002D1C0000}"/>
    <cellStyle name="Percentuale 53 3 2 2" xfId="4409" xr:uid="{00000000-0005-0000-0000-00002E1C0000}"/>
    <cellStyle name="Percentuale 53 3 2 3" xfId="5428" xr:uid="{00000000-0005-0000-0000-00002F1C0000}"/>
    <cellStyle name="Percentuale 53 3 3" xfId="1916" xr:uid="{00000000-0005-0000-0000-0000301C0000}"/>
    <cellStyle name="Percentuale 53 3 3 2" xfId="3186" xr:uid="{00000000-0005-0000-0000-0000311C0000}"/>
    <cellStyle name="Percentuale 53 3 4" xfId="3185" xr:uid="{00000000-0005-0000-0000-0000321C0000}"/>
    <cellStyle name="Percentuale 53 4" xfId="1917" xr:uid="{00000000-0005-0000-0000-0000331C0000}"/>
    <cellStyle name="Percentuale 53 4 2" xfId="1918" xr:uid="{00000000-0005-0000-0000-0000341C0000}"/>
    <cellStyle name="Percentuale 53 4 2 2" xfId="3188" xr:uid="{00000000-0005-0000-0000-0000351C0000}"/>
    <cellStyle name="Percentuale 53 4 3" xfId="3187" xr:uid="{00000000-0005-0000-0000-0000361C0000}"/>
    <cellStyle name="Percentuale 53 5" xfId="1919" xr:uid="{00000000-0005-0000-0000-0000371C0000}"/>
    <cellStyle name="Percentuale 54" xfId="407" xr:uid="{00000000-0005-0000-0000-0000381C0000}"/>
    <cellStyle name="Percentuale 54 2" xfId="642" xr:uid="{00000000-0005-0000-0000-0000391C0000}"/>
    <cellStyle name="Percentuale 54 2 2" xfId="3189" xr:uid="{00000000-0005-0000-0000-00003A1C0000}"/>
    <cellStyle name="Percentuale 54 3" xfId="1920" xr:uid="{00000000-0005-0000-0000-00003B1C0000}"/>
    <cellStyle name="Percentuale 54 3 2" xfId="1921" xr:uid="{00000000-0005-0000-0000-00003C1C0000}"/>
    <cellStyle name="Percentuale 54 3 2 2" xfId="4410" xr:uid="{00000000-0005-0000-0000-00003D1C0000}"/>
    <cellStyle name="Percentuale 54 3 2 3" xfId="5429" xr:uid="{00000000-0005-0000-0000-00003E1C0000}"/>
    <cellStyle name="Percentuale 54 3 3" xfId="1922" xr:uid="{00000000-0005-0000-0000-00003F1C0000}"/>
    <cellStyle name="Percentuale 54 3 3 2" xfId="3191" xr:uid="{00000000-0005-0000-0000-0000401C0000}"/>
    <cellStyle name="Percentuale 54 3 4" xfId="3190" xr:uid="{00000000-0005-0000-0000-0000411C0000}"/>
    <cellStyle name="Percentuale 54 4" xfId="1923" xr:uid="{00000000-0005-0000-0000-0000421C0000}"/>
    <cellStyle name="Percentuale 54 4 2" xfId="1924" xr:uid="{00000000-0005-0000-0000-0000431C0000}"/>
    <cellStyle name="Percentuale 54 4 2 2" xfId="3193" xr:uid="{00000000-0005-0000-0000-0000441C0000}"/>
    <cellStyle name="Percentuale 54 4 3" xfId="3192" xr:uid="{00000000-0005-0000-0000-0000451C0000}"/>
    <cellStyle name="Percentuale 54 5" xfId="1925" xr:uid="{00000000-0005-0000-0000-0000461C0000}"/>
    <cellStyle name="Percentuale 55" xfId="408" xr:uid="{00000000-0005-0000-0000-0000471C0000}"/>
    <cellStyle name="Percentuale 55 2" xfId="643" xr:uid="{00000000-0005-0000-0000-0000481C0000}"/>
    <cellStyle name="Percentuale 55 2 2" xfId="3194" xr:uid="{00000000-0005-0000-0000-0000491C0000}"/>
    <cellStyle name="Percentuale 55 3" xfId="1926" xr:uid="{00000000-0005-0000-0000-00004A1C0000}"/>
    <cellStyle name="Percentuale 55 3 2" xfId="1927" xr:uid="{00000000-0005-0000-0000-00004B1C0000}"/>
    <cellStyle name="Percentuale 55 3 2 2" xfId="4411" xr:uid="{00000000-0005-0000-0000-00004C1C0000}"/>
    <cellStyle name="Percentuale 55 3 2 3" xfId="5430" xr:uid="{00000000-0005-0000-0000-00004D1C0000}"/>
    <cellStyle name="Percentuale 55 3 3" xfId="1928" xr:uid="{00000000-0005-0000-0000-00004E1C0000}"/>
    <cellStyle name="Percentuale 55 3 3 2" xfId="3196" xr:uid="{00000000-0005-0000-0000-00004F1C0000}"/>
    <cellStyle name="Percentuale 55 3 4" xfId="3195" xr:uid="{00000000-0005-0000-0000-0000501C0000}"/>
    <cellStyle name="Percentuale 55 4" xfId="1929" xr:uid="{00000000-0005-0000-0000-0000511C0000}"/>
    <cellStyle name="Percentuale 55 4 2" xfId="1930" xr:uid="{00000000-0005-0000-0000-0000521C0000}"/>
    <cellStyle name="Percentuale 55 4 2 2" xfId="3198" xr:uid="{00000000-0005-0000-0000-0000531C0000}"/>
    <cellStyle name="Percentuale 55 4 3" xfId="3197" xr:uid="{00000000-0005-0000-0000-0000541C0000}"/>
    <cellStyle name="Percentuale 55 5" xfId="1931" xr:uid="{00000000-0005-0000-0000-0000551C0000}"/>
    <cellStyle name="Percentuale 56" xfId="409" xr:uid="{00000000-0005-0000-0000-0000561C0000}"/>
    <cellStyle name="Percentuale 56 2" xfId="644" xr:uid="{00000000-0005-0000-0000-0000571C0000}"/>
    <cellStyle name="Percentuale 56 2 2" xfId="3199" xr:uid="{00000000-0005-0000-0000-0000581C0000}"/>
    <cellStyle name="Percentuale 56 3" xfId="1932" xr:uid="{00000000-0005-0000-0000-0000591C0000}"/>
    <cellStyle name="Percentuale 56 3 2" xfId="1933" xr:uid="{00000000-0005-0000-0000-00005A1C0000}"/>
    <cellStyle name="Percentuale 56 3 2 2" xfId="4412" xr:uid="{00000000-0005-0000-0000-00005B1C0000}"/>
    <cellStyle name="Percentuale 56 3 2 3" xfId="5431" xr:uid="{00000000-0005-0000-0000-00005C1C0000}"/>
    <cellStyle name="Percentuale 56 3 3" xfId="1934" xr:uid="{00000000-0005-0000-0000-00005D1C0000}"/>
    <cellStyle name="Percentuale 56 3 3 2" xfId="3201" xr:uid="{00000000-0005-0000-0000-00005E1C0000}"/>
    <cellStyle name="Percentuale 56 3 4" xfId="3200" xr:uid="{00000000-0005-0000-0000-00005F1C0000}"/>
    <cellStyle name="Percentuale 56 4" xfId="1935" xr:uid="{00000000-0005-0000-0000-0000601C0000}"/>
    <cellStyle name="Percentuale 56 4 2" xfId="1936" xr:uid="{00000000-0005-0000-0000-0000611C0000}"/>
    <cellStyle name="Percentuale 56 4 2 2" xfId="3203" xr:uid="{00000000-0005-0000-0000-0000621C0000}"/>
    <cellStyle name="Percentuale 56 4 3" xfId="3202" xr:uid="{00000000-0005-0000-0000-0000631C0000}"/>
    <cellStyle name="Percentuale 56 5" xfId="1937" xr:uid="{00000000-0005-0000-0000-0000641C0000}"/>
    <cellStyle name="Percentuale 57" xfId="410" xr:uid="{00000000-0005-0000-0000-0000651C0000}"/>
    <cellStyle name="Percentuale 57 2" xfId="645" xr:uid="{00000000-0005-0000-0000-0000661C0000}"/>
    <cellStyle name="Percentuale 57 2 2" xfId="3204" xr:uid="{00000000-0005-0000-0000-0000671C0000}"/>
    <cellStyle name="Percentuale 57 3" xfId="1938" xr:uid="{00000000-0005-0000-0000-0000681C0000}"/>
    <cellStyle name="Percentuale 57 3 2" xfId="1939" xr:uid="{00000000-0005-0000-0000-0000691C0000}"/>
    <cellStyle name="Percentuale 57 3 2 2" xfId="4413" xr:uid="{00000000-0005-0000-0000-00006A1C0000}"/>
    <cellStyle name="Percentuale 57 3 2 3" xfId="5432" xr:uid="{00000000-0005-0000-0000-00006B1C0000}"/>
    <cellStyle name="Percentuale 57 3 3" xfId="1940" xr:uid="{00000000-0005-0000-0000-00006C1C0000}"/>
    <cellStyle name="Percentuale 57 3 3 2" xfId="3206" xr:uid="{00000000-0005-0000-0000-00006D1C0000}"/>
    <cellStyle name="Percentuale 57 3 4" xfId="3205" xr:uid="{00000000-0005-0000-0000-00006E1C0000}"/>
    <cellStyle name="Percentuale 57 4" xfId="1941" xr:uid="{00000000-0005-0000-0000-00006F1C0000}"/>
    <cellStyle name="Percentuale 57 4 2" xfId="1942" xr:uid="{00000000-0005-0000-0000-0000701C0000}"/>
    <cellStyle name="Percentuale 57 4 2 2" xfId="3208" xr:uid="{00000000-0005-0000-0000-0000711C0000}"/>
    <cellStyle name="Percentuale 57 4 3" xfId="3207" xr:uid="{00000000-0005-0000-0000-0000721C0000}"/>
    <cellStyle name="Percentuale 57 5" xfId="1943" xr:uid="{00000000-0005-0000-0000-0000731C0000}"/>
    <cellStyle name="Percentuale 58" xfId="411" xr:uid="{00000000-0005-0000-0000-0000741C0000}"/>
    <cellStyle name="Percentuale 58 2" xfId="646" xr:uid="{00000000-0005-0000-0000-0000751C0000}"/>
    <cellStyle name="Percentuale 58 2 2" xfId="3209" xr:uid="{00000000-0005-0000-0000-0000761C0000}"/>
    <cellStyle name="Percentuale 58 3" xfId="1944" xr:uid="{00000000-0005-0000-0000-0000771C0000}"/>
    <cellStyle name="Percentuale 58 3 2" xfId="1945" xr:uid="{00000000-0005-0000-0000-0000781C0000}"/>
    <cellStyle name="Percentuale 58 3 2 2" xfId="4414" xr:uid="{00000000-0005-0000-0000-0000791C0000}"/>
    <cellStyle name="Percentuale 58 3 2 3" xfId="5433" xr:uid="{00000000-0005-0000-0000-00007A1C0000}"/>
    <cellStyle name="Percentuale 58 3 3" xfId="1946" xr:uid="{00000000-0005-0000-0000-00007B1C0000}"/>
    <cellStyle name="Percentuale 58 3 3 2" xfId="3211" xr:uid="{00000000-0005-0000-0000-00007C1C0000}"/>
    <cellStyle name="Percentuale 58 3 4" xfId="3210" xr:uid="{00000000-0005-0000-0000-00007D1C0000}"/>
    <cellStyle name="Percentuale 58 4" xfId="1947" xr:uid="{00000000-0005-0000-0000-00007E1C0000}"/>
    <cellStyle name="Percentuale 58 4 2" xfId="1948" xr:uid="{00000000-0005-0000-0000-00007F1C0000}"/>
    <cellStyle name="Percentuale 58 4 2 2" xfId="3213" xr:uid="{00000000-0005-0000-0000-0000801C0000}"/>
    <cellStyle name="Percentuale 58 4 3" xfId="3212" xr:uid="{00000000-0005-0000-0000-0000811C0000}"/>
    <cellStyle name="Percentuale 58 5" xfId="1949" xr:uid="{00000000-0005-0000-0000-0000821C0000}"/>
    <cellStyle name="Percentuale 59" xfId="412" xr:uid="{00000000-0005-0000-0000-0000831C0000}"/>
    <cellStyle name="Percentuale 59 2" xfId="647" xr:uid="{00000000-0005-0000-0000-0000841C0000}"/>
    <cellStyle name="Percentuale 59 2 2" xfId="3214" xr:uid="{00000000-0005-0000-0000-0000851C0000}"/>
    <cellStyle name="Percentuale 59 3" xfId="1950" xr:uid="{00000000-0005-0000-0000-0000861C0000}"/>
    <cellStyle name="Percentuale 59 3 2" xfId="1951" xr:uid="{00000000-0005-0000-0000-0000871C0000}"/>
    <cellStyle name="Percentuale 59 3 2 2" xfId="4415" xr:uid="{00000000-0005-0000-0000-0000881C0000}"/>
    <cellStyle name="Percentuale 59 3 2 3" xfId="5434" xr:uid="{00000000-0005-0000-0000-0000891C0000}"/>
    <cellStyle name="Percentuale 59 3 3" xfId="1952" xr:uid="{00000000-0005-0000-0000-00008A1C0000}"/>
    <cellStyle name="Percentuale 59 3 3 2" xfId="3216" xr:uid="{00000000-0005-0000-0000-00008B1C0000}"/>
    <cellStyle name="Percentuale 59 3 4" xfId="3215" xr:uid="{00000000-0005-0000-0000-00008C1C0000}"/>
    <cellStyle name="Percentuale 59 4" xfId="1953" xr:uid="{00000000-0005-0000-0000-00008D1C0000}"/>
    <cellStyle name="Percentuale 59 4 2" xfId="1954" xr:uid="{00000000-0005-0000-0000-00008E1C0000}"/>
    <cellStyle name="Percentuale 59 4 2 2" xfId="3218" xr:uid="{00000000-0005-0000-0000-00008F1C0000}"/>
    <cellStyle name="Percentuale 59 4 3" xfId="3217" xr:uid="{00000000-0005-0000-0000-0000901C0000}"/>
    <cellStyle name="Percentuale 59 5" xfId="1955" xr:uid="{00000000-0005-0000-0000-0000911C0000}"/>
    <cellStyle name="Percentuale 6" xfId="413" xr:uid="{00000000-0005-0000-0000-0000921C0000}"/>
    <cellStyle name="Percentuale 6 2" xfId="648" xr:uid="{00000000-0005-0000-0000-0000931C0000}"/>
    <cellStyle name="Percentuale 6 2 2" xfId="3219" xr:uid="{00000000-0005-0000-0000-0000941C0000}"/>
    <cellStyle name="Percentuale 6 3" xfId="1956" xr:uid="{00000000-0005-0000-0000-0000951C0000}"/>
    <cellStyle name="Percentuale 6 3 2" xfId="1957" xr:uid="{00000000-0005-0000-0000-0000961C0000}"/>
    <cellStyle name="Percentuale 6 3 2 2" xfId="4416" xr:uid="{00000000-0005-0000-0000-0000971C0000}"/>
    <cellStyle name="Percentuale 6 3 2 3" xfId="5435" xr:uid="{00000000-0005-0000-0000-0000981C0000}"/>
    <cellStyle name="Percentuale 6 3 3" xfId="1958" xr:uid="{00000000-0005-0000-0000-0000991C0000}"/>
    <cellStyle name="Percentuale 6 3 3 2" xfId="3221" xr:uid="{00000000-0005-0000-0000-00009A1C0000}"/>
    <cellStyle name="Percentuale 6 3 4" xfId="3220" xr:uid="{00000000-0005-0000-0000-00009B1C0000}"/>
    <cellStyle name="Percentuale 6 4" xfId="1959" xr:uid="{00000000-0005-0000-0000-00009C1C0000}"/>
    <cellStyle name="Percentuale 6 4 2" xfId="1960" xr:uid="{00000000-0005-0000-0000-00009D1C0000}"/>
    <cellStyle name="Percentuale 6 4 2 2" xfId="3223" xr:uid="{00000000-0005-0000-0000-00009E1C0000}"/>
    <cellStyle name="Percentuale 6 4 3" xfId="3222" xr:uid="{00000000-0005-0000-0000-00009F1C0000}"/>
    <cellStyle name="Percentuale 6 5" xfId="1961" xr:uid="{00000000-0005-0000-0000-0000A01C0000}"/>
    <cellStyle name="Percentuale 60" xfId="414" xr:uid="{00000000-0005-0000-0000-0000A11C0000}"/>
    <cellStyle name="Percentuale 60 2" xfId="649" xr:uid="{00000000-0005-0000-0000-0000A21C0000}"/>
    <cellStyle name="Percentuale 60 2 2" xfId="3224" xr:uid="{00000000-0005-0000-0000-0000A31C0000}"/>
    <cellStyle name="Percentuale 60 3" xfId="1962" xr:uid="{00000000-0005-0000-0000-0000A41C0000}"/>
    <cellStyle name="Percentuale 60 3 2" xfId="1963" xr:uid="{00000000-0005-0000-0000-0000A51C0000}"/>
    <cellStyle name="Percentuale 60 3 2 2" xfId="4417" xr:uid="{00000000-0005-0000-0000-0000A61C0000}"/>
    <cellStyle name="Percentuale 60 3 2 3" xfId="5436" xr:uid="{00000000-0005-0000-0000-0000A71C0000}"/>
    <cellStyle name="Percentuale 60 3 3" xfId="1964" xr:uid="{00000000-0005-0000-0000-0000A81C0000}"/>
    <cellStyle name="Percentuale 60 3 3 2" xfId="3226" xr:uid="{00000000-0005-0000-0000-0000A91C0000}"/>
    <cellStyle name="Percentuale 60 3 4" xfId="3225" xr:uid="{00000000-0005-0000-0000-0000AA1C0000}"/>
    <cellStyle name="Percentuale 60 4" xfId="1965" xr:uid="{00000000-0005-0000-0000-0000AB1C0000}"/>
    <cellStyle name="Percentuale 60 4 2" xfId="1966" xr:uid="{00000000-0005-0000-0000-0000AC1C0000}"/>
    <cellStyle name="Percentuale 60 4 2 2" xfId="3228" xr:uid="{00000000-0005-0000-0000-0000AD1C0000}"/>
    <cellStyle name="Percentuale 60 4 3" xfId="3227" xr:uid="{00000000-0005-0000-0000-0000AE1C0000}"/>
    <cellStyle name="Percentuale 60 5" xfId="1967" xr:uid="{00000000-0005-0000-0000-0000AF1C0000}"/>
    <cellStyle name="Percentuale 61" xfId="415" xr:uid="{00000000-0005-0000-0000-0000B01C0000}"/>
    <cellStyle name="Percentuale 61 2" xfId="650" xr:uid="{00000000-0005-0000-0000-0000B11C0000}"/>
    <cellStyle name="Percentuale 61 2 2" xfId="3229" xr:uid="{00000000-0005-0000-0000-0000B21C0000}"/>
    <cellStyle name="Percentuale 61 3" xfId="1968" xr:uid="{00000000-0005-0000-0000-0000B31C0000}"/>
    <cellStyle name="Percentuale 61 3 2" xfId="1969" xr:uid="{00000000-0005-0000-0000-0000B41C0000}"/>
    <cellStyle name="Percentuale 61 3 2 2" xfId="4418" xr:uid="{00000000-0005-0000-0000-0000B51C0000}"/>
    <cellStyle name="Percentuale 61 3 2 3" xfId="5437" xr:uid="{00000000-0005-0000-0000-0000B61C0000}"/>
    <cellStyle name="Percentuale 61 3 3" xfId="1970" xr:uid="{00000000-0005-0000-0000-0000B71C0000}"/>
    <cellStyle name="Percentuale 61 3 3 2" xfId="3231" xr:uid="{00000000-0005-0000-0000-0000B81C0000}"/>
    <cellStyle name="Percentuale 61 3 4" xfId="3230" xr:uid="{00000000-0005-0000-0000-0000B91C0000}"/>
    <cellStyle name="Percentuale 61 4" xfId="1971" xr:uid="{00000000-0005-0000-0000-0000BA1C0000}"/>
    <cellStyle name="Percentuale 61 4 2" xfId="1972" xr:uid="{00000000-0005-0000-0000-0000BB1C0000}"/>
    <cellStyle name="Percentuale 61 4 2 2" xfId="3233" xr:uid="{00000000-0005-0000-0000-0000BC1C0000}"/>
    <cellStyle name="Percentuale 61 4 3" xfId="3232" xr:uid="{00000000-0005-0000-0000-0000BD1C0000}"/>
    <cellStyle name="Percentuale 61 5" xfId="1973" xr:uid="{00000000-0005-0000-0000-0000BE1C0000}"/>
    <cellStyle name="Percentuale 62" xfId="416" xr:uid="{00000000-0005-0000-0000-0000BF1C0000}"/>
    <cellStyle name="Percentuale 62 2" xfId="3234" xr:uid="{00000000-0005-0000-0000-0000C01C0000}"/>
    <cellStyle name="Percentuale 63" xfId="417" xr:uid="{00000000-0005-0000-0000-0000C11C0000}"/>
    <cellStyle name="Percentuale 63 2" xfId="3235" xr:uid="{00000000-0005-0000-0000-0000C21C0000}"/>
    <cellStyle name="Percentuale 64" xfId="418" xr:uid="{00000000-0005-0000-0000-0000C31C0000}"/>
    <cellStyle name="Percentuale 64 2" xfId="3236" xr:uid="{00000000-0005-0000-0000-0000C41C0000}"/>
    <cellStyle name="Percentuale 65" xfId="419" xr:uid="{00000000-0005-0000-0000-0000C51C0000}"/>
    <cellStyle name="Percentuale 65 2" xfId="3237" xr:uid="{00000000-0005-0000-0000-0000C61C0000}"/>
    <cellStyle name="Percentuale 66" xfId="420" xr:uid="{00000000-0005-0000-0000-0000C71C0000}"/>
    <cellStyle name="Percentuale 66 2" xfId="3238" xr:uid="{00000000-0005-0000-0000-0000C81C0000}"/>
    <cellStyle name="Percentuale 67" xfId="421" xr:uid="{00000000-0005-0000-0000-0000C91C0000}"/>
    <cellStyle name="Percentuale 67 2" xfId="3239" xr:uid="{00000000-0005-0000-0000-0000CA1C0000}"/>
    <cellStyle name="Percentuale 68" xfId="422" xr:uid="{00000000-0005-0000-0000-0000CB1C0000}"/>
    <cellStyle name="Percentuale 68 2" xfId="651" xr:uid="{00000000-0005-0000-0000-0000CC1C0000}"/>
    <cellStyle name="Percentuale 68 2 2" xfId="3240" xr:uid="{00000000-0005-0000-0000-0000CD1C0000}"/>
    <cellStyle name="Percentuale 68 3" xfId="1974" xr:uid="{00000000-0005-0000-0000-0000CE1C0000}"/>
    <cellStyle name="Percentuale 68 3 2" xfId="1975" xr:uid="{00000000-0005-0000-0000-0000CF1C0000}"/>
    <cellStyle name="Percentuale 68 3 2 2" xfId="4419" xr:uid="{00000000-0005-0000-0000-0000D01C0000}"/>
    <cellStyle name="Percentuale 68 3 2 3" xfId="5438" xr:uid="{00000000-0005-0000-0000-0000D11C0000}"/>
    <cellStyle name="Percentuale 68 3 3" xfId="1976" xr:uid="{00000000-0005-0000-0000-0000D21C0000}"/>
    <cellStyle name="Percentuale 68 3 3 2" xfId="3242" xr:uid="{00000000-0005-0000-0000-0000D31C0000}"/>
    <cellStyle name="Percentuale 68 3 4" xfId="3241" xr:uid="{00000000-0005-0000-0000-0000D41C0000}"/>
    <cellStyle name="Percentuale 68 4" xfId="1977" xr:uid="{00000000-0005-0000-0000-0000D51C0000}"/>
    <cellStyle name="Percentuale 68 4 2" xfId="1978" xr:uid="{00000000-0005-0000-0000-0000D61C0000}"/>
    <cellStyle name="Percentuale 68 4 2 2" xfId="3244" xr:uid="{00000000-0005-0000-0000-0000D71C0000}"/>
    <cellStyle name="Percentuale 68 4 3" xfId="3243" xr:uid="{00000000-0005-0000-0000-0000D81C0000}"/>
    <cellStyle name="Percentuale 68 5" xfId="1979" xr:uid="{00000000-0005-0000-0000-0000D91C0000}"/>
    <cellStyle name="Percentuale 69" xfId="423" xr:uid="{00000000-0005-0000-0000-0000DA1C0000}"/>
    <cellStyle name="Percentuale 69 2" xfId="652" xr:uid="{00000000-0005-0000-0000-0000DB1C0000}"/>
    <cellStyle name="Percentuale 69 2 2" xfId="3245" xr:uid="{00000000-0005-0000-0000-0000DC1C0000}"/>
    <cellStyle name="Percentuale 69 3" xfId="1980" xr:uid="{00000000-0005-0000-0000-0000DD1C0000}"/>
    <cellStyle name="Percentuale 69 3 2" xfId="1981" xr:uid="{00000000-0005-0000-0000-0000DE1C0000}"/>
    <cellStyle name="Percentuale 69 3 2 2" xfId="4420" xr:uid="{00000000-0005-0000-0000-0000DF1C0000}"/>
    <cellStyle name="Percentuale 69 3 2 3" xfId="5439" xr:uid="{00000000-0005-0000-0000-0000E01C0000}"/>
    <cellStyle name="Percentuale 69 3 3" xfId="1982" xr:uid="{00000000-0005-0000-0000-0000E11C0000}"/>
    <cellStyle name="Percentuale 69 3 3 2" xfId="3247" xr:uid="{00000000-0005-0000-0000-0000E21C0000}"/>
    <cellStyle name="Percentuale 69 3 4" xfId="3246" xr:uid="{00000000-0005-0000-0000-0000E31C0000}"/>
    <cellStyle name="Percentuale 69 4" xfId="1983" xr:uid="{00000000-0005-0000-0000-0000E41C0000}"/>
    <cellStyle name="Percentuale 69 4 2" xfId="1984" xr:uid="{00000000-0005-0000-0000-0000E51C0000}"/>
    <cellStyle name="Percentuale 69 4 2 2" xfId="3249" xr:uid="{00000000-0005-0000-0000-0000E61C0000}"/>
    <cellStyle name="Percentuale 69 4 3" xfId="3248" xr:uid="{00000000-0005-0000-0000-0000E71C0000}"/>
    <cellStyle name="Percentuale 69 5" xfId="1985" xr:uid="{00000000-0005-0000-0000-0000E81C0000}"/>
    <cellStyle name="Percentuale 7" xfId="424" xr:uid="{00000000-0005-0000-0000-0000E91C0000}"/>
    <cellStyle name="Percentuale 7 2" xfId="653" xr:uid="{00000000-0005-0000-0000-0000EA1C0000}"/>
    <cellStyle name="Percentuale 7 2 2" xfId="3250" xr:uid="{00000000-0005-0000-0000-0000EB1C0000}"/>
    <cellStyle name="Percentuale 7 3" xfId="1986" xr:uid="{00000000-0005-0000-0000-0000EC1C0000}"/>
    <cellStyle name="Percentuale 7 3 2" xfId="1987" xr:uid="{00000000-0005-0000-0000-0000ED1C0000}"/>
    <cellStyle name="Percentuale 7 3 2 2" xfId="4421" xr:uid="{00000000-0005-0000-0000-0000EE1C0000}"/>
    <cellStyle name="Percentuale 7 3 2 3" xfId="5440" xr:uid="{00000000-0005-0000-0000-0000EF1C0000}"/>
    <cellStyle name="Percentuale 7 3 3" xfId="1988" xr:uid="{00000000-0005-0000-0000-0000F01C0000}"/>
    <cellStyle name="Percentuale 7 3 3 2" xfId="3252" xr:uid="{00000000-0005-0000-0000-0000F11C0000}"/>
    <cellStyle name="Percentuale 7 3 4" xfId="3251" xr:uid="{00000000-0005-0000-0000-0000F21C0000}"/>
    <cellStyle name="Percentuale 7 4" xfId="1989" xr:uid="{00000000-0005-0000-0000-0000F31C0000}"/>
    <cellStyle name="Percentuale 7 4 2" xfId="1990" xr:uid="{00000000-0005-0000-0000-0000F41C0000}"/>
    <cellStyle name="Percentuale 7 4 2 2" xfId="3254" xr:uid="{00000000-0005-0000-0000-0000F51C0000}"/>
    <cellStyle name="Percentuale 7 4 3" xfId="3253" xr:uid="{00000000-0005-0000-0000-0000F61C0000}"/>
    <cellStyle name="Percentuale 7 5" xfId="1991" xr:uid="{00000000-0005-0000-0000-0000F71C0000}"/>
    <cellStyle name="Percentuale 8" xfId="425" xr:uid="{00000000-0005-0000-0000-0000F81C0000}"/>
    <cellStyle name="Percentuale 8 2" xfId="654" xr:uid="{00000000-0005-0000-0000-0000F91C0000}"/>
    <cellStyle name="Percentuale 8 2 2" xfId="3255" xr:uid="{00000000-0005-0000-0000-0000FA1C0000}"/>
    <cellStyle name="Percentuale 8 3" xfId="1992" xr:uid="{00000000-0005-0000-0000-0000FB1C0000}"/>
    <cellStyle name="Percentuale 8 3 2" xfId="1993" xr:uid="{00000000-0005-0000-0000-0000FC1C0000}"/>
    <cellStyle name="Percentuale 8 3 2 2" xfId="4422" xr:uid="{00000000-0005-0000-0000-0000FD1C0000}"/>
    <cellStyle name="Percentuale 8 3 2 3" xfId="5441" xr:uid="{00000000-0005-0000-0000-0000FE1C0000}"/>
    <cellStyle name="Percentuale 8 3 3" xfId="1994" xr:uid="{00000000-0005-0000-0000-0000FF1C0000}"/>
    <cellStyle name="Percentuale 8 3 3 2" xfId="3257" xr:uid="{00000000-0005-0000-0000-0000001D0000}"/>
    <cellStyle name="Percentuale 8 3 4" xfId="3256" xr:uid="{00000000-0005-0000-0000-0000011D0000}"/>
    <cellStyle name="Percentuale 8 4" xfId="1995" xr:uid="{00000000-0005-0000-0000-0000021D0000}"/>
    <cellStyle name="Percentuale 8 4 2" xfId="1996" xr:uid="{00000000-0005-0000-0000-0000031D0000}"/>
    <cellStyle name="Percentuale 8 4 2 2" xfId="3259" xr:uid="{00000000-0005-0000-0000-0000041D0000}"/>
    <cellStyle name="Percentuale 8 4 3" xfId="3258" xr:uid="{00000000-0005-0000-0000-0000051D0000}"/>
    <cellStyle name="Percentuale 8 5" xfId="1997" xr:uid="{00000000-0005-0000-0000-0000061D0000}"/>
    <cellStyle name="Percentuale 9" xfId="426" xr:uid="{00000000-0005-0000-0000-0000071D0000}"/>
    <cellStyle name="Percentuale 9 2" xfId="655" xr:uid="{00000000-0005-0000-0000-0000081D0000}"/>
    <cellStyle name="Percentuale 9 2 2" xfId="3260" xr:uid="{00000000-0005-0000-0000-0000091D0000}"/>
    <cellStyle name="Percentuale 9 3" xfId="1998" xr:uid="{00000000-0005-0000-0000-00000A1D0000}"/>
    <cellStyle name="Percentuale 9 3 2" xfId="1999" xr:uid="{00000000-0005-0000-0000-00000B1D0000}"/>
    <cellStyle name="Percentuale 9 3 2 2" xfId="4423" xr:uid="{00000000-0005-0000-0000-00000C1D0000}"/>
    <cellStyle name="Percentuale 9 3 2 3" xfId="5442" xr:uid="{00000000-0005-0000-0000-00000D1D0000}"/>
    <cellStyle name="Percentuale 9 3 3" xfId="2000" xr:uid="{00000000-0005-0000-0000-00000E1D0000}"/>
    <cellStyle name="Percentuale 9 3 3 2" xfId="3262" xr:uid="{00000000-0005-0000-0000-00000F1D0000}"/>
    <cellStyle name="Percentuale 9 3 4" xfId="3261" xr:uid="{00000000-0005-0000-0000-0000101D0000}"/>
    <cellStyle name="Percentuale 9 4" xfId="2001" xr:uid="{00000000-0005-0000-0000-0000111D0000}"/>
    <cellStyle name="Percentuale 9 4 2" xfId="2002" xr:uid="{00000000-0005-0000-0000-0000121D0000}"/>
    <cellStyle name="Percentuale 9 4 2 2" xfId="3264" xr:uid="{00000000-0005-0000-0000-0000131D0000}"/>
    <cellStyle name="Percentuale 9 4 3" xfId="3263" xr:uid="{00000000-0005-0000-0000-0000141D0000}"/>
    <cellStyle name="Percentuale 9 5" xfId="2003" xr:uid="{00000000-0005-0000-0000-0000151D0000}"/>
    <cellStyle name="Procent 2" xfId="437" xr:uid="{00000000-0005-0000-0000-0000161D0000}"/>
    <cellStyle name="Procent 2 2" xfId="3265" xr:uid="{00000000-0005-0000-0000-0000171D0000}"/>
    <cellStyle name="Procent 2 2 2" xfId="4424" xr:uid="{00000000-0005-0000-0000-0000181D0000}"/>
    <cellStyle name="Procent 2 2 2 2" xfId="6383" xr:uid="{00000000-0005-0000-0000-0000191D0000}"/>
    <cellStyle name="Procent 2 2 2 3" xfId="7328" xr:uid="{00000000-0005-0000-0000-00001A1D0000}"/>
    <cellStyle name="Procent 2 2 2 4" xfId="7461" xr:uid="{00000000-0005-0000-0000-00001B1D0000}"/>
    <cellStyle name="Procent 2 2 3" xfId="4425" xr:uid="{00000000-0005-0000-0000-00001C1D0000}"/>
    <cellStyle name="Procent 2 2 4" xfId="6382" xr:uid="{00000000-0005-0000-0000-00001D1D0000}"/>
    <cellStyle name="Procent 2 2 5" xfId="7327" xr:uid="{00000000-0005-0000-0000-00001E1D0000}"/>
    <cellStyle name="Procent 2 2 6" xfId="7460" xr:uid="{00000000-0005-0000-0000-00001F1D0000}"/>
    <cellStyle name="Procent 3" xfId="2004" xr:uid="{00000000-0005-0000-0000-0000201D0000}"/>
    <cellStyle name="Procent 3 2" xfId="2005" xr:uid="{00000000-0005-0000-0000-0000211D0000}"/>
    <cellStyle name="Procent 3 2 2" xfId="4426" xr:uid="{00000000-0005-0000-0000-0000221D0000}"/>
    <cellStyle name="Procent 3 2 3" xfId="6385" xr:uid="{00000000-0005-0000-0000-0000231D0000}"/>
    <cellStyle name="Procent 3 2 4" xfId="7330" xr:uid="{00000000-0005-0000-0000-0000241D0000}"/>
    <cellStyle name="Procent 3 2 5" xfId="7463" xr:uid="{00000000-0005-0000-0000-0000251D0000}"/>
    <cellStyle name="Procent 3 2 6" xfId="5444" xr:uid="{00000000-0005-0000-0000-0000261D0000}"/>
    <cellStyle name="Procent 3 3" xfId="4427" xr:uid="{00000000-0005-0000-0000-0000271D0000}"/>
    <cellStyle name="Procent 3 4" xfId="6384" xr:uid="{00000000-0005-0000-0000-0000281D0000}"/>
    <cellStyle name="Procent 3 5" xfId="7329" xr:uid="{00000000-0005-0000-0000-0000291D0000}"/>
    <cellStyle name="Procent 3 6" xfId="7462" xr:uid="{00000000-0005-0000-0000-00002A1D0000}"/>
    <cellStyle name="Procent 3 7" xfId="5443" xr:uid="{00000000-0005-0000-0000-00002B1D0000}"/>
    <cellStyle name="Procent 4" xfId="2006" xr:uid="{00000000-0005-0000-0000-00002C1D0000}"/>
    <cellStyle name="Procent 4 2" xfId="3266" xr:uid="{00000000-0005-0000-0000-00002D1D0000}"/>
    <cellStyle name="Procent 4 2 2" xfId="6441" xr:uid="{00000000-0005-0000-0000-00002E1D0000}"/>
    <cellStyle name="Procent 4 2 3" xfId="7353" xr:uid="{00000000-0005-0000-0000-00002F1D0000}"/>
    <cellStyle name="Procent 4 2 4" xfId="7486" xr:uid="{00000000-0005-0000-0000-0000301D0000}"/>
    <cellStyle name="Procent 4 3" xfId="6440" xr:uid="{00000000-0005-0000-0000-0000311D0000}"/>
    <cellStyle name="Procent 4 4" xfId="7343" xr:uid="{00000000-0005-0000-0000-0000321D0000}"/>
    <cellStyle name="Procent 4 5" xfId="7476" xr:uid="{00000000-0005-0000-0000-0000331D0000}"/>
    <cellStyle name="Procent 5" xfId="5485" xr:uid="{00000000-0005-0000-0000-0000341D0000}"/>
    <cellStyle name="Standard_Sce_D_Extraction" xfId="2007" xr:uid="{00000000-0005-0000-0000-0000351D0000}"/>
    <cellStyle name="Style 155" xfId="4428" xr:uid="{00000000-0005-0000-0000-0000361D0000}"/>
    <cellStyle name="Style 155 2" xfId="5445" xr:uid="{00000000-0005-0000-0000-0000371D0000}"/>
    <cellStyle name="Style 155 3" xfId="7521" xr:uid="{00000000-0005-0000-0000-0000381D0000}"/>
    <cellStyle name="Style 155 4" xfId="7593" xr:uid="{00000000-0005-0000-0000-0000391D0000}"/>
    <cellStyle name="Style 155 5" xfId="7670" xr:uid="{00000000-0005-0000-0000-00003A1D0000}"/>
    <cellStyle name="Style 156" xfId="4429" xr:uid="{00000000-0005-0000-0000-00003B1D0000}"/>
    <cellStyle name="Style 157" xfId="4430" xr:uid="{00000000-0005-0000-0000-00003C1D0000}"/>
    <cellStyle name="Style 157 2" xfId="5446" xr:uid="{00000000-0005-0000-0000-00003D1D0000}"/>
    <cellStyle name="Style 157 3" xfId="7522" xr:uid="{00000000-0005-0000-0000-00003E1D0000}"/>
    <cellStyle name="Style 157 4" xfId="7594" xr:uid="{00000000-0005-0000-0000-00003F1D0000}"/>
    <cellStyle name="Style 157 5" xfId="7671" xr:uid="{00000000-0005-0000-0000-0000401D0000}"/>
    <cellStyle name="Style 158" xfId="4431" xr:uid="{00000000-0005-0000-0000-0000411D0000}"/>
    <cellStyle name="Style 158 2" xfId="5447" xr:uid="{00000000-0005-0000-0000-0000421D0000}"/>
    <cellStyle name="Style 158 3" xfId="7523" xr:uid="{00000000-0005-0000-0000-0000431D0000}"/>
    <cellStyle name="Style 158 4" xfId="7595" xr:uid="{00000000-0005-0000-0000-0000441D0000}"/>
    <cellStyle name="Style 158 5" xfId="7672" xr:uid="{00000000-0005-0000-0000-0000451D0000}"/>
    <cellStyle name="Style 159" xfId="4432" xr:uid="{00000000-0005-0000-0000-0000461D0000}"/>
    <cellStyle name="Style 161" xfId="4433" xr:uid="{00000000-0005-0000-0000-0000471D0000}"/>
    <cellStyle name="Style 161 2" xfId="5448" xr:uid="{00000000-0005-0000-0000-0000481D0000}"/>
    <cellStyle name="Style 161 3" xfId="7524" xr:uid="{00000000-0005-0000-0000-0000491D0000}"/>
    <cellStyle name="Style 161 4" xfId="7596" xr:uid="{00000000-0005-0000-0000-00004A1D0000}"/>
    <cellStyle name="Style 161 5" xfId="7673" xr:uid="{00000000-0005-0000-0000-00004B1D0000}"/>
    <cellStyle name="Style 162" xfId="4434" xr:uid="{00000000-0005-0000-0000-00004C1D0000}"/>
    <cellStyle name="Style 162 2" xfId="5449" xr:uid="{00000000-0005-0000-0000-00004D1D0000}"/>
    <cellStyle name="Style 162 3" xfId="7525" xr:uid="{00000000-0005-0000-0000-00004E1D0000}"/>
    <cellStyle name="Style 162 4" xfId="7597" xr:uid="{00000000-0005-0000-0000-00004F1D0000}"/>
    <cellStyle name="Style 162 5" xfId="7674" xr:uid="{00000000-0005-0000-0000-0000501D0000}"/>
    <cellStyle name="Style 163" xfId="4435" xr:uid="{00000000-0005-0000-0000-0000511D0000}"/>
    <cellStyle name="Style 163 2" xfId="5450" xr:uid="{00000000-0005-0000-0000-0000521D0000}"/>
    <cellStyle name="Style 163 3" xfId="7526" xr:uid="{00000000-0005-0000-0000-0000531D0000}"/>
    <cellStyle name="Style 163 4" xfId="7598" xr:uid="{00000000-0005-0000-0000-0000541D0000}"/>
    <cellStyle name="Style 163 5" xfId="7675" xr:uid="{00000000-0005-0000-0000-0000551D0000}"/>
    <cellStyle name="Style 223" xfId="4436" xr:uid="{00000000-0005-0000-0000-0000561D0000}"/>
    <cellStyle name="Style 223 2" xfId="5451" xr:uid="{00000000-0005-0000-0000-0000571D0000}"/>
    <cellStyle name="Style 223 3" xfId="7527" xr:uid="{00000000-0005-0000-0000-0000581D0000}"/>
    <cellStyle name="Style 223 4" xfId="7599" xr:uid="{00000000-0005-0000-0000-0000591D0000}"/>
    <cellStyle name="Style 223 5" xfId="7676" xr:uid="{00000000-0005-0000-0000-00005A1D0000}"/>
    <cellStyle name="Style 224" xfId="4437" xr:uid="{00000000-0005-0000-0000-00005B1D0000}"/>
    <cellStyle name="Style 225" xfId="4438" xr:uid="{00000000-0005-0000-0000-00005C1D0000}"/>
    <cellStyle name="Style 225 2" xfId="5452" xr:uid="{00000000-0005-0000-0000-00005D1D0000}"/>
    <cellStyle name="Style 225 3" xfId="7528" xr:uid="{00000000-0005-0000-0000-00005E1D0000}"/>
    <cellStyle name="Style 225 4" xfId="7600" xr:uid="{00000000-0005-0000-0000-00005F1D0000}"/>
    <cellStyle name="Style 225 5" xfId="7677" xr:uid="{00000000-0005-0000-0000-0000601D0000}"/>
    <cellStyle name="Style 226" xfId="4439" xr:uid="{00000000-0005-0000-0000-0000611D0000}"/>
    <cellStyle name="Style 226 2" xfId="5453" xr:uid="{00000000-0005-0000-0000-0000621D0000}"/>
    <cellStyle name="Style 226 3" xfId="7529" xr:uid="{00000000-0005-0000-0000-0000631D0000}"/>
    <cellStyle name="Style 226 4" xfId="7601" xr:uid="{00000000-0005-0000-0000-0000641D0000}"/>
    <cellStyle name="Style 226 5" xfId="7678" xr:uid="{00000000-0005-0000-0000-0000651D0000}"/>
    <cellStyle name="Style 227" xfId="4440" xr:uid="{00000000-0005-0000-0000-0000661D0000}"/>
    <cellStyle name="Style 229" xfId="4441" xr:uid="{00000000-0005-0000-0000-0000671D0000}"/>
    <cellStyle name="Style 229 2" xfId="5454" xr:uid="{00000000-0005-0000-0000-0000681D0000}"/>
    <cellStyle name="Style 229 3" xfId="7530" xr:uid="{00000000-0005-0000-0000-0000691D0000}"/>
    <cellStyle name="Style 229 4" xfId="7602" xr:uid="{00000000-0005-0000-0000-00006A1D0000}"/>
    <cellStyle name="Style 229 5" xfId="7679" xr:uid="{00000000-0005-0000-0000-00006B1D0000}"/>
    <cellStyle name="Style 230" xfId="4442" xr:uid="{00000000-0005-0000-0000-00006C1D0000}"/>
    <cellStyle name="Style 230 2" xfId="5455" xr:uid="{00000000-0005-0000-0000-00006D1D0000}"/>
    <cellStyle name="Style 230 3" xfId="7531" xr:uid="{00000000-0005-0000-0000-00006E1D0000}"/>
    <cellStyle name="Style 230 4" xfId="7603" xr:uid="{00000000-0005-0000-0000-00006F1D0000}"/>
    <cellStyle name="Style 230 5" xfId="7680" xr:uid="{00000000-0005-0000-0000-0000701D0000}"/>
    <cellStyle name="Style 231" xfId="4443" xr:uid="{00000000-0005-0000-0000-0000711D0000}"/>
    <cellStyle name="Style 231 2" xfId="5456" xr:uid="{00000000-0005-0000-0000-0000721D0000}"/>
    <cellStyle name="Style 231 3" xfId="7532" xr:uid="{00000000-0005-0000-0000-0000731D0000}"/>
    <cellStyle name="Style 231 4" xfId="7604" xr:uid="{00000000-0005-0000-0000-0000741D0000}"/>
    <cellStyle name="Style 231 5" xfId="7681" xr:uid="{00000000-0005-0000-0000-0000751D0000}"/>
    <cellStyle name="Style 257" xfId="4444" xr:uid="{00000000-0005-0000-0000-0000761D0000}"/>
    <cellStyle name="Style 257 2" xfId="5457" xr:uid="{00000000-0005-0000-0000-0000771D0000}"/>
    <cellStyle name="Style 257 3" xfId="7533" xr:uid="{00000000-0005-0000-0000-0000781D0000}"/>
    <cellStyle name="Style 257 4" xfId="7605" xr:uid="{00000000-0005-0000-0000-0000791D0000}"/>
    <cellStyle name="Style 257 5" xfId="7682" xr:uid="{00000000-0005-0000-0000-00007A1D0000}"/>
    <cellStyle name="Style 258" xfId="4445" xr:uid="{00000000-0005-0000-0000-00007B1D0000}"/>
    <cellStyle name="Style 259" xfId="4446" xr:uid="{00000000-0005-0000-0000-00007C1D0000}"/>
    <cellStyle name="Style 259 2" xfId="5458" xr:uid="{00000000-0005-0000-0000-00007D1D0000}"/>
    <cellStyle name="Style 259 3" xfId="7534" xr:uid="{00000000-0005-0000-0000-00007E1D0000}"/>
    <cellStyle name="Style 259 4" xfId="7606" xr:uid="{00000000-0005-0000-0000-00007F1D0000}"/>
    <cellStyle name="Style 259 5" xfId="7683" xr:uid="{00000000-0005-0000-0000-0000801D0000}"/>
    <cellStyle name="Style 260" xfId="4447" xr:uid="{00000000-0005-0000-0000-0000811D0000}"/>
    <cellStyle name="Style 260 2" xfId="5459" xr:uid="{00000000-0005-0000-0000-0000821D0000}"/>
    <cellStyle name="Style 260 3" xfId="7535" xr:uid="{00000000-0005-0000-0000-0000831D0000}"/>
    <cellStyle name="Style 260 4" xfId="7607" xr:uid="{00000000-0005-0000-0000-0000841D0000}"/>
    <cellStyle name="Style 260 5" xfId="7684" xr:uid="{00000000-0005-0000-0000-0000851D0000}"/>
    <cellStyle name="Style 261" xfId="4448" xr:uid="{00000000-0005-0000-0000-0000861D0000}"/>
    <cellStyle name="Style 263" xfId="4449" xr:uid="{00000000-0005-0000-0000-0000871D0000}"/>
    <cellStyle name="Style 263 2" xfId="5460" xr:uid="{00000000-0005-0000-0000-0000881D0000}"/>
    <cellStyle name="Style 263 3" xfId="7536" xr:uid="{00000000-0005-0000-0000-0000891D0000}"/>
    <cellStyle name="Style 263 4" xfId="7608" xr:uid="{00000000-0005-0000-0000-00008A1D0000}"/>
    <cellStyle name="Style 263 5" xfId="7685" xr:uid="{00000000-0005-0000-0000-00008B1D0000}"/>
    <cellStyle name="Style 264" xfId="4450" xr:uid="{00000000-0005-0000-0000-00008C1D0000}"/>
    <cellStyle name="Style 264 2" xfId="5461" xr:uid="{00000000-0005-0000-0000-00008D1D0000}"/>
    <cellStyle name="Style 264 3" xfId="7537" xr:uid="{00000000-0005-0000-0000-00008E1D0000}"/>
    <cellStyle name="Style 264 4" xfId="7609" xr:uid="{00000000-0005-0000-0000-00008F1D0000}"/>
    <cellStyle name="Style 264 5" xfId="7686" xr:uid="{00000000-0005-0000-0000-0000901D0000}"/>
    <cellStyle name="Style 265" xfId="4451" xr:uid="{00000000-0005-0000-0000-0000911D0000}"/>
    <cellStyle name="Style 265 2" xfId="5462" xr:uid="{00000000-0005-0000-0000-0000921D0000}"/>
    <cellStyle name="Style 265 3" xfId="7538" xr:uid="{00000000-0005-0000-0000-0000931D0000}"/>
    <cellStyle name="Style 265 4" xfId="7610" xr:uid="{00000000-0005-0000-0000-0000941D0000}"/>
    <cellStyle name="Style 265 5" xfId="7687" xr:uid="{00000000-0005-0000-0000-0000951D0000}"/>
    <cellStyle name="Style 461" xfId="4452" xr:uid="{00000000-0005-0000-0000-0000961D0000}"/>
    <cellStyle name="Style 461 2" xfId="5463" xr:uid="{00000000-0005-0000-0000-0000971D0000}"/>
    <cellStyle name="Style 461 3" xfId="7539" xr:uid="{00000000-0005-0000-0000-0000981D0000}"/>
    <cellStyle name="Style 461 4" xfId="7611" xr:uid="{00000000-0005-0000-0000-0000991D0000}"/>
    <cellStyle name="Style 461 5" xfId="7688" xr:uid="{00000000-0005-0000-0000-00009A1D0000}"/>
    <cellStyle name="Style 467" xfId="4453" xr:uid="{00000000-0005-0000-0000-00009B1D0000}"/>
    <cellStyle name="Style 467 2" xfId="5464" xr:uid="{00000000-0005-0000-0000-00009C1D0000}"/>
    <cellStyle name="Style 467 3" xfId="7540" xr:uid="{00000000-0005-0000-0000-00009D1D0000}"/>
    <cellStyle name="Style 467 4" xfId="7612" xr:uid="{00000000-0005-0000-0000-00009E1D0000}"/>
    <cellStyle name="Style 467 5" xfId="7689" xr:uid="{00000000-0005-0000-0000-00009F1D0000}"/>
    <cellStyle name="Style 468" xfId="4454" xr:uid="{00000000-0005-0000-0000-0000A01D0000}"/>
    <cellStyle name="Style 468 2" xfId="5465" xr:uid="{00000000-0005-0000-0000-0000A11D0000}"/>
    <cellStyle name="Style 468 3" xfId="7541" xr:uid="{00000000-0005-0000-0000-0000A21D0000}"/>
    <cellStyle name="Style 468 4" xfId="7613" xr:uid="{00000000-0005-0000-0000-0000A31D0000}"/>
    <cellStyle name="Style 468 5" xfId="7690" xr:uid="{00000000-0005-0000-0000-0000A41D0000}"/>
    <cellStyle name="Style 469" xfId="4455" xr:uid="{00000000-0005-0000-0000-0000A51D0000}"/>
    <cellStyle name="Style 469 2" xfId="5466" xr:uid="{00000000-0005-0000-0000-0000A61D0000}"/>
    <cellStyle name="Style 469 3" xfId="7542" xr:uid="{00000000-0005-0000-0000-0000A71D0000}"/>
    <cellStyle name="Style 469 4" xfId="7614" xr:uid="{00000000-0005-0000-0000-0000A81D0000}"/>
    <cellStyle name="Style 469 5" xfId="7691" xr:uid="{00000000-0005-0000-0000-0000A91D0000}"/>
    <cellStyle name="Style 478" xfId="4456" xr:uid="{00000000-0005-0000-0000-0000AA1D0000}"/>
    <cellStyle name="Style 478 2" xfId="5467" xr:uid="{00000000-0005-0000-0000-0000AB1D0000}"/>
    <cellStyle name="Style 478 3" xfId="7543" xr:uid="{00000000-0005-0000-0000-0000AC1D0000}"/>
    <cellStyle name="Style 478 4" xfId="7615" xr:uid="{00000000-0005-0000-0000-0000AD1D0000}"/>
    <cellStyle name="Style 478 5" xfId="7692" xr:uid="{00000000-0005-0000-0000-0000AE1D0000}"/>
    <cellStyle name="Style 479" xfId="4457" xr:uid="{00000000-0005-0000-0000-0000AF1D0000}"/>
    <cellStyle name="Style 480" xfId="4458" xr:uid="{00000000-0005-0000-0000-0000B01D0000}"/>
    <cellStyle name="Style 480 2" xfId="5468" xr:uid="{00000000-0005-0000-0000-0000B11D0000}"/>
    <cellStyle name="Style 480 3" xfId="7544" xr:uid="{00000000-0005-0000-0000-0000B21D0000}"/>
    <cellStyle name="Style 480 4" xfId="7616" xr:uid="{00000000-0005-0000-0000-0000B31D0000}"/>
    <cellStyle name="Style 480 5" xfId="7693" xr:uid="{00000000-0005-0000-0000-0000B41D0000}"/>
    <cellStyle name="Style 481" xfId="4459" xr:uid="{00000000-0005-0000-0000-0000B51D0000}"/>
    <cellStyle name="Style 481 2" xfId="5469" xr:uid="{00000000-0005-0000-0000-0000B61D0000}"/>
    <cellStyle name="Style 481 3" xfId="7545" xr:uid="{00000000-0005-0000-0000-0000B71D0000}"/>
    <cellStyle name="Style 481 4" xfId="7617" xr:uid="{00000000-0005-0000-0000-0000B81D0000}"/>
    <cellStyle name="Style 481 5" xfId="7694" xr:uid="{00000000-0005-0000-0000-0000B91D0000}"/>
    <cellStyle name="Style 482" xfId="4460" xr:uid="{00000000-0005-0000-0000-0000BA1D0000}"/>
    <cellStyle name="Style 484" xfId="4461" xr:uid="{00000000-0005-0000-0000-0000BB1D0000}"/>
    <cellStyle name="Style 484 2" xfId="5470" xr:uid="{00000000-0005-0000-0000-0000BC1D0000}"/>
    <cellStyle name="Style 484 3" xfId="7546" xr:uid="{00000000-0005-0000-0000-0000BD1D0000}"/>
    <cellStyle name="Style 484 4" xfId="7618" xr:uid="{00000000-0005-0000-0000-0000BE1D0000}"/>
    <cellStyle name="Style 484 5" xfId="7695" xr:uid="{00000000-0005-0000-0000-0000BF1D0000}"/>
    <cellStyle name="Style 485" xfId="4462" xr:uid="{00000000-0005-0000-0000-0000C01D0000}"/>
    <cellStyle name="Style 485 2" xfId="5471" xr:uid="{00000000-0005-0000-0000-0000C11D0000}"/>
    <cellStyle name="Style 485 3" xfId="7547" xr:uid="{00000000-0005-0000-0000-0000C21D0000}"/>
    <cellStyle name="Style 485 4" xfId="7619" xr:uid="{00000000-0005-0000-0000-0000C31D0000}"/>
    <cellStyle name="Style 485 5" xfId="7696" xr:uid="{00000000-0005-0000-0000-0000C41D0000}"/>
    <cellStyle name="Style 486" xfId="4463" xr:uid="{00000000-0005-0000-0000-0000C51D0000}"/>
    <cellStyle name="Style 486 2" xfId="5472" xr:uid="{00000000-0005-0000-0000-0000C61D0000}"/>
    <cellStyle name="Style 486 3" xfId="7548" xr:uid="{00000000-0005-0000-0000-0000C71D0000}"/>
    <cellStyle name="Style 486 4" xfId="7620" xr:uid="{00000000-0005-0000-0000-0000C81D0000}"/>
    <cellStyle name="Style 486 5" xfId="7697" xr:uid="{00000000-0005-0000-0000-0000C91D0000}"/>
    <cellStyle name="Style 495" xfId="4464" xr:uid="{00000000-0005-0000-0000-0000CA1D0000}"/>
    <cellStyle name="Style 495 2" xfId="5473" xr:uid="{00000000-0005-0000-0000-0000CB1D0000}"/>
    <cellStyle name="Style 495 3" xfId="7549" xr:uid="{00000000-0005-0000-0000-0000CC1D0000}"/>
    <cellStyle name="Style 495 4" xfId="7621" xr:uid="{00000000-0005-0000-0000-0000CD1D0000}"/>
    <cellStyle name="Style 495 5" xfId="7698" xr:uid="{00000000-0005-0000-0000-0000CE1D0000}"/>
    <cellStyle name="Style 496" xfId="4465" xr:uid="{00000000-0005-0000-0000-0000CF1D0000}"/>
    <cellStyle name="Style 497" xfId="4466" xr:uid="{00000000-0005-0000-0000-0000D01D0000}"/>
    <cellStyle name="Style 497 2" xfId="5474" xr:uid="{00000000-0005-0000-0000-0000D11D0000}"/>
    <cellStyle name="Style 497 3" xfId="7550" xr:uid="{00000000-0005-0000-0000-0000D21D0000}"/>
    <cellStyle name="Style 497 4" xfId="7622" xr:uid="{00000000-0005-0000-0000-0000D31D0000}"/>
    <cellStyle name="Style 497 5" xfId="7699" xr:uid="{00000000-0005-0000-0000-0000D41D0000}"/>
    <cellStyle name="Style 498" xfId="4467" xr:uid="{00000000-0005-0000-0000-0000D51D0000}"/>
    <cellStyle name="Style 498 2" xfId="5475" xr:uid="{00000000-0005-0000-0000-0000D61D0000}"/>
    <cellStyle name="Style 498 3" xfId="7551" xr:uid="{00000000-0005-0000-0000-0000D71D0000}"/>
    <cellStyle name="Style 498 4" xfId="7623" xr:uid="{00000000-0005-0000-0000-0000D81D0000}"/>
    <cellStyle name="Style 498 5" xfId="7700" xr:uid="{00000000-0005-0000-0000-0000D91D0000}"/>
    <cellStyle name="Style 499" xfId="4468" xr:uid="{00000000-0005-0000-0000-0000DA1D0000}"/>
    <cellStyle name="Style 501" xfId="4469" xr:uid="{00000000-0005-0000-0000-0000DB1D0000}"/>
    <cellStyle name="Style 501 2" xfId="5476" xr:uid="{00000000-0005-0000-0000-0000DC1D0000}"/>
    <cellStyle name="Style 501 3" xfId="7552" xr:uid="{00000000-0005-0000-0000-0000DD1D0000}"/>
    <cellStyle name="Style 501 4" xfId="7624" xr:uid="{00000000-0005-0000-0000-0000DE1D0000}"/>
    <cellStyle name="Style 501 5" xfId="7701" xr:uid="{00000000-0005-0000-0000-0000DF1D0000}"/>
    <cellStyle name="Style 502" xfId="4470" xr:uid="{00000000-0005-0000-0000-0000E01D0000}"/>
    <cellStyle name="Style 502 2" xfId="5477" xr:uid="{00000000-0005-0000-0000-0000E11D0000}"/>
    <cellStyle name="Style 502 3" xfId="7553" xr:uid="{00000000-0005-0000-0000-0000E21D0000}"/>
    <cellStyle name="Style 502 4" xfId="7625" xr:uid="{00000000-0005-0000-0000-0000E31D0000}"/>
    <cellStyle name="Style 502 5" xfId="7702" xr:uid="{00000000-0005-0000-0000-0000E41D0000}"/>
    <cellStyle name="Style 503" xfId="4471" xr:uid="{00000000-0005-0000-0000-0000E51D0000}"/>
    <cellStyle name="Style 503 2" xfId="5478" xr:uid="{00000000-0005-0000-0000-0000E61D0000}"/>
    <cellStyle name="Style 503 3" xfId="7554" xr:uid="{00000000-0005-0000-0000-0000E71D0000}"/>
    <cellStyle name="Style 503 4" xfId="7626" xr:uid="{00000000-0005-0000-0000-0000E81D0000}"/>
    <cellStyle name="Style 503 5" xfId="7703" xr:uid="{00000000-0005-0000-0000-0000E91D0000}"/>
    <cellStyle name="Style 580" xfId="4472" xr:uid="{00000000-0005-0000-0000-0000EA1D0000}"/>
    <cellStyle name="Style 580 2" xfId="5479" xr:uid="{00000000-0005-0000-0000-0000EB1D0000}"/>
    <cellStyle name="Style 580 3" xfId="7555" xr:uid="{00000000-0005-0000-0000-0000EC1D0000}"/>
    <cellStyle name="Style 580 4" xfId="7627" xr:uid="{00000000-0005-0000-0000-0000ED1D0000}"/>
    <cellStyle name="Style 580 5" xfId="7704" xr:uid="{00000000-0005-0000-0000-0000EE1D0000}"/>
    <cellStyle name="Style 581" xfId="4473" xr:uid="{00000000-0005-0000-0000-0000EF1D0000}"/>
    <cellStyle name="Style 582" xfId="4474" xr:uid="{00000000-0005-0000-0000-0000F01D0000}"/>
    <cellStyle name="Style 582 2" xfId="5480" xr:uid="{00000000-0005-0000-0000-0000F11D0000}"/>
    <cellStyle name="Style 582 3" xfId="7556" xr:uid="{00000000-0005-0000-0000-0000F21D0000}"/>
    <cellStyle name="Style 582 4" xfId="7628" xr:uid="{00000000-0005-0000-0000-0000F31D0000}"/>
    <cellStyle name="Style 582 5" xfId="7705" xr:uid="{00000000-0005-0000-0000-0000F41D0000}"/>
    <cellStyle name="Style 583" xfId="4475" xr:uid="{00000000-0005-0000-0000-0000F51D0000}"/>
    <cellStyle name="Style 583 2" xfId="5481" xr:uid="{00000000-0005-0000-0000-0000F61D0000}"/>
    <cellStyle name="Style 583 3" xfId="7557" xr:uid="{00000000-0005-0000-0000-0000F71D0000}"/>
    <cellStyle name="Style 583 4" xfId="7629" xr:uid="{00000000-0005-0000-0000-0000F81D0000}"/>
    <cellStyle name="Style 583 5" xfId="7706" xr:uid="{00000000-0005-0000-0000-0000F91D0000}"/>
    <cellStyle name="Style 584" xfId="4476" xr:uid="{00000000-0005-0000-0000-0000FA1D0000}"/>
    <cellStyle name="Style 586" xfId="4477" xr:uid="{00000000-0005-0000-0000-0000FB1D0000}"/>
    <cellStyle name="Style 586 2" xfId="5482" xr:uid="{00000000-0005-0000-0000-0000FC1D0000}"/>
    <cellStyle name="Style 586 3" xfId="7558" xr:uid="{00000000-0005-0000-0000-0000FD1D0000}"/>
    <cellStyle name="Style 586 4" xfId="7630" xr:uid="{00000000-0005-0000-0000-0000FE1D0000}"/>
    <cellStyle name="Style 586 5" xfId="7707" xr:uid="{00000000-0005-0000-0000-0000FF1D0000}"/>
    <cellStyle name="Style 587" xfId="4478" xr:uid="{00000000-0005-0000-0000-0000001E0000}"/>
    <cellStyle name="Style 587 2" xfId="5483" xr:uid="{00000000-0005-0000-0000-0000011E0000}"/>
    <cellStyle name="Style 587 3" xfId="7559" xr:uid="{00000000-0005-0000-0000-0000021E0000}"/>
    <cellStyle name="Style 587 4" xfId="7631" xr:uid="{00000000-0005-0000-0000-0000031E0000}"/>
    <cellStyle name="Style 587 5" xfId="7708" xr:uid="{00000000-0005-0000-0000-0000041E0000}"/>
    <cellStyle name="Style 588" xfId="4479" xr:uid="{00000000-0005-0000-0000-0000051E0000}"/>
    <cellStyle name="Style 588 2" xfId="5484" xr:uid="{00000000-0005-0000-0000-0000061E0000}"/>
    <cellStyle name="Style 588 3" xfId="7560" xr:uid="{00000000-0005-0000-0000-0000071E0000}"/>
    <cellStyle name="Style 588 4" xfId="7632" xr:uid="{00000000-0005-0000-0000-0000081E0000}"/>
    <cellStyle name="Style 588 5" xfId="7709" xr:uid="{00000000-0005-0000-0000-0000091E0000}"/>
    <cellStyle name="Testo avviso" xfId="427" xr:uid="{00000000-0005-0000-0000-00000A1E0000}"/>
    <cellStyle name="Testo descrittivo" xfId="428" xr:uid="{00000000-0005-0000-0000-00000B1E0000}"/>
    <cellStyle name="Titolo" xfId="429" xr:uid="{00000000-0005-0000-0000-00000C1E0000}"/>
    <cellStyle name="Titolo 1" xfId="430" xr:uid="{00000000-0005-0000-0000-00000D1E0000}"/>
    <cellStyle name="Titolo 1 2" xfId="4480" xr:uid="{00000000-0005-0000-0000-00000E1E0000}"/>
    <cellStyle name="Titolo 2" xfId="431" xr:uid="{00000000-0005-0000-0000-00000F1E0000}"/>
    <cellStyle name="Titolo 2 2" xfId="4481" xr:uid="{00000000-0005-0000-0000-0000101E0000}"/>
    <cellStyle name="Titolo 3" xfId="432" xr:uid="{00000000-0005-0000-0000-0000111E0000}"/>
    <cellStyle name="Titolo 3 2" xfId="4482" xr:uid="{00000000-0005-0000-0000-0000121E0000}"/>
    <cellStyle name="Titolo 4" xfId="433" xr:uid="{00000000-0005-0000-0000-0000131E0000}"/>
    <cellStyle name="Total 2" xfId="443" xr:uid="{00000000-0005-0000-0000-0000141E0000}"/>
    <cellStyle name="Total 2 2" xfId="4483" xr:uid="{00000000-0005-0000-0000-0000151E0000}"/>
    <cellStyle name="Total 2 2 2" xfId="7711" xr:uid="{00000000-0005-0000-0000-0000161E0000}"/>
    <cellStyle name="Total 2 3" xfId="7710" xr:uid="{00000000-0005-0000-0000-0000171E0000}"/>
    <cellStyle name="Totale" xfId="434" xr:uid="{00000000-0005-0000-0000-0000181E0000}"/>
    <cellStyle name="Totale 2" xfId="4484" xr:uid="{00000000-0005-0000-0000-0000191E0000}"/>
    <cellStyle name="Totale 2 2" xfId="4485" xr:uid="{00000000-0005-0000-0000-00001A1E0000}"/>
    <cellStyle name="Totale 2 2 2" xfId="7714" xr:uid="{00000000-0005-0000-0000-00001B1E0000}"/>
    <cellStyle name="Totale 2 3" xfId="7713" xr:uid="{00000000-0005-0000-0000-00001C1E0000}"/>
    <cellStyle name="Totale 3" xfId="4486" xr:uid="{00000000-0005-0000-0000-00001D1E0000}"/>
    <cellStyle name="Totale 3 2" xfId="4487" xr:uid="{00000000-0005-0000-0000-00001E1E0000}"/>
    <cellStyle name="Totale 3 2 2" xfId="7716" xr:uid="{00000000-0005-0000-0000-00001F1E0000}"/>
    <cellStyle name="Totale 3 3" xfId="7715" xr:uid="{00000000-0005-0000-0000-0000201E0000}"/>
    <cellStyle name="Totale 4" xfId="4488" xr:uid="{00000000-0005-0000-0000-0000211E0000}"/>
    <cellStyle name="Totale 4 2" xfId="7717" xr:uid="{00000000-0005-0000-0000-0000221E0000}"/>
    <cellStyle name="Totale 5" xfId="7712" xr:uid="{00000000-0005-0000-0000-0000231E0000}"/>
    <cellStyle name="Ugyldig 2" xfId="4492" xr:uid="{00000000-0005-0000-0000-0000241E0000}"/>
    <cellStyle name="Uncertain" xfId="2008" xr:uid="{00000000-0005-0000-0000-0000251E0000}"/>
    <cellStyle name="Valore non valido" xfId="435" xr:uid="{00000000-0005-0000-0000-0000261E0000}"/>
    <cellStyle name="Valore valido" xfId="11" xr:uid="{00000000-0005-0000-0000-0000271E0000}"/>
    <cellStyle name="Years" xfId="2009" xr:uid="{00000000-0005-0000-0000-0000281E0000}"/>
    <cellStyle name="Обычный_CRF2002 (1)" xfId="2010" xr:uid="{00000000-0005-0000-0000-0000291E0000}"/>
  </cellStyles>
  <dxfs count="2">
    <dxf>
      <font>
        <color rgb="FF006100"/>
      </font>
      <fill>
        <patternFill>
          <bgColor rgb="FFC6EFCE"/>
        </patternFill>
      </fill>
    </dxf>
    <dxf>
      <font>
        <color rgb="FF9C0006"/>
      </font>
      <fill>
        <patternFill>
          <bgColor rgb="FFFFC7CE"/>
        </patternFill>
      </fill>
    </dxf>
  </dxfs>
  <tableStyles count="0" defaultTableStyle="TableStyleMedium9"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1.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8.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4.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3.xml"/><Relationship Id="rId30" Type="http://schemas.openxmlformats.org/officeDocument/2006/relationships/externalLink" Target="externalLinks/externalLink6.xml"/><Relationship Id="rId35"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DK"/>
              <a:t>LCOCO2 2020</a:t>
            </a:r>
            <a:endParaRPr lang="da-DK"/>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LCOCO2!$D$6</c:f>
              <c:strCache>
                <c:ptCount val="1"/>
                <c:pt idx="0">
                  <c:v>INV</c:v>
                </c:pt>
              </c:strCache>
            </c:strRef>
          </c:tx>
          <c:spPr>
            <a:solidFill>
              <a:schemeClr val="accent1"/>
            </a:solidFill>
            <a:ln>
              <a:noFill/>
            </a:ln>
            <a:effectLst/>
          </c:spPr>
          <c:invertIfNegative val="0"/>
          <c:cat>
            <c:strRef>
              <c:f>LCOCO2!$B$7:$B$12</c:f>
              <c:strCache>
                <c:ptCount val="6"/>
                <c:pt idx="0">
                  <c:v>DAC</c:v>
                </c:pt>
                <c:pt idx="1">
                  <c:v>BECCS, halm</c:v>
                </c:pt>
                <c:pt idx="2">
                  <c:v>BECCS, wood chips</c:v>
                </c:pt>
                <c:pt idx="3">
                  <c:v>Waste CCS</c:v>
                </c:pt>
                <c:pt idx="4">
                  <c:v>Waste CCS marginal</c:v>
                </c:pt>
                <c:pt idx="5">
                  <c:v>Cement, Kul</c:v>
                </c:pt>
              </c:strCache>
            </c:strRef>
          </c:cat>
          <c:val>
            <c:numRef>
              <c:f>LCOCO2!$D$7:$D$12</c:f>
              <c:numCache>
                <c:formatCode>General</c:formatCode>
                <c:ptCount val="6"/>
                <c:pt idx="0" formatCode="0.00">
                  <c:v>461.10169185748566</c:v>
                </c:pt>
                <c:pt idx="1">
                  <c:v>310.7534322476601</c:v>
                </c:pt>
                <c:pt idx="2">
                  <c:v>468.24075082141616</c:v>
                </c:pt>
                <c:pt idx="3">
                  <c:v>2588.4598446684849</c:v>
                </c:pt>
                <c:pt idx="4">
                  <c:v>812.29445575933005</c:v>
                </c:pt>
                <c:pt idx="5">
                  <c:v>196.46426802293396</c:v>
                </c:pt>
              </c:numCache>
            </c:numRef>
          </c:val>
          <c:extLst>
            <c:ext xmlns:c16="http://schemas.microsoft.com/office/drawing/2014/chart" uri="{C3380CC4-5D6E-409C-BE32-E72D297353CC}">
              <c16:uniqueId val="{00000000-CD01-436D-A283-35F1B64FFF25}"/>
            </c:ext>
          </c:extLst>
        </c:ser>
        <c:ser>
          <c:idx val="1"/>
          <c:order val="1"/>
          <c:tx>
            <c:strRef>
              <c:f>LCOCO2!$E$6</c:f>
              <c:strCache>
                <c:ptCount val="1"/>
                <c:pt idx="0">
                  <c:v>O&amp;M</c:v>
                </c:pt>
              </c:strCache>
            </c:strRef>
          </c:tx>
          <c:spPr>
            <a:solidFill>
              <a:schemeClr val="accent2"/>
            </a:solidFill>
            <a:ln>
              <a:noFill/>
            </a:ln>
            <a:effectLst/>
          </c:spPr>
          <c:invertIfNegative val="0"/>
          <c:cat>
            <c:strRef>
              <c:f>LCOCO2!$B$7:$B$12</c:f>
              <c:strCache>
                <c:ptCount val="6"/>
                <c:pt idx="0">
                  <c:v>DAC</c:v>
                </c:pt>
                <c:pt idx="1">
                  <c:v>BECCS, halm</c:v>
                </c:pt>
                <c:pt idx="2">
                  <c:v>BECCS, wood chips</c:v>
                </c:pt>
                <c:pt idx="3">
                  <c:v>Waste CCS</c:v>
                </c:pt>
                <c:pt idx="4">
                  <c:v>Waste CCS marginal</c:v>
                </c:pt>
                <c:pt idx="5">
                  <c:v>Cement, Kul</c:v>
                </c:pt>
              </c:strCache>
            </c:strRef>
          </c:cat>
          <c:val>
            <c:numRef>
              <c:f>LCOCO2!$E$7:$E$12</c:f>
              <c:numCache>
                <c:formatCode>General</c:formatCode>
                <c:ptCount val="6"/>
                <c:pt idx="0" formatCode="0.00">
                  <c:v>310.19286229271808</c:v>
                </c:pt>
                <c:pt idx="1">
                  <c:v>121.36537403342116</c:v>
                </c:pt>
                <c:pt idx="2">
                  <c:v>159.08861529189357</c:v>
                </c:pt>
                <c:pt idx="3">
                  <c:v>1359.5240847838863</c:v>
                </c:pt>
                <c:pt idx="4">
                  <c:v>1359.5240847838863</c:v>
                </c:pt>
                <c:pt idx="5">
                  <c:v>106.14035329485966</c:v>
                </c:pt>
              </c:numCache>
            </c:numRef>
          </c:val>
          <c:extLst>
            <c:ext xmlns:c16="http://schemas.microsoft.com/office/drawing/2014/chart" uri="{C3380CC4-5D6E-409C-BE32-E72D297353CC}">
              <c16:uniqueId val="{00000001-CD01-436D-A283-35F1B64FFF25}"/>
            </c:ext>
          </c:extLst>
        </c:ser>
        <c:ser>
          <c:idx val="2"/>
          <c:order val="2"/>
          <c:tx>
            <c:strRef>
              <c:f>LCOCO2!$F$6</c:f>
              <c:strCache>
                <c:ptCount val="1"/>
                <c:pt idx="0">
                  <c:v>Fuel</c:v>
                </c:pt>
              </c:strCache>
            </c:strRef>
          </c:tx>
          <c:spPr>
            <a:solidFill>
              <a:schemeClr val="accent3"/>
            </a:solidFill>
            <a:ln>
              <a:noFill/>
            </a:ln>
            <a:effectLst/>
          </c:spPr>
          <c:invertIfNegative val="0"/>
          <c:cat>
            <c:strRef>
              <c:f>LCOCO2!$B$7:$B$12</c:f>
              <c:strCache>
                <c:ptCount val="6"/>
                <c:pt idx="0">
                  <c:v>DAC</c:v>
                </c:pt>
                <c:pt idx="1">
                  <c:v>BECCS, halm</c:v>
                </c:pt>
                <c:pt idx="2">
                  <c:v>BECCS, wood chips</c:v>
                </c:pt>
                <c:pt idx="3">
                  <c:v>Waste CCS</c:v>
                </c:pt>
                <c:pt idx="4">
                  <c:v>Waste CCS marginal</c:v>
                </c:pt>
                <c:pt idx="5">
                  <c:v>Cement, Kul</c:v>
                </c:pt>
              </c:strCache>
            </c:strRef>
          </c:cat>
          <c:val>
            <c:numRef>
              <c:f>LCOCO2!$F$7:$F$12</c:f>
              <c:numCache>
                <c:formatCode>General</c:formatCode>
                <c:ptCount val="6"/>
                <c:pt idx="0" formatCode="0.00">
                  <c:v>565.52624958679598</c:v>
                </c:pt>
                <c:pt idx="1">
                  <c:v>920.62808587724203</c:v>
                </c:pt>
                <c:pt idx="2">
                  <c:v>780.40532783592266</c:v>
                </c:pt>
                <c:pt idx="3">
                  <c:v>3593.5435372233587</c:v>
                </c:pt>
                <c:pt idx="4">
                  <c:v>3593.5435372233587</c:v>
                </c:pt>
                <c:pt idx="5">
                  <c:v>223.40963302172611</c:v>
                </c:pt>
              </c:numCache>
            </c:numRef>
          </c:val>
          <c:extLst>
            <c:ext xmlns:c16="http://schemas.microsoft.com/office/drawing/2014/chart" uri="{C3380CC4-5D6E-409C-BE32-E72D297353CC}">
              <c16:uniqueId val="{00000002-CD01-436D-A283-35F1B64FFF25}"/>
            </c:ext>
          </c:extLst>
        </c:ser>
        <c:ser>
          <c:idx val="3"/>
          <c:order val="3"/>
          <c:tx>
            <c:strRef>
              <c:f>LCOCO2!$G$6</c:f>
              <c:strCache>
                <c:ptCount val="1"/>
                <c:pt idx="0">
                  <c:v>Income</c:v>
                </c:pt>
              </c:strCache>
            </c:strRef>
          </c:tx>
          <c:spPr>
            <a:solidFill>
              <a:schemeClr val="accent4"/>
            </a:solidFill>
            <a:ln>
              <a:noFill/>
            </a:ln>
            <a:effectLst/>
          </c:spPr>
          <c:invertIfNegative val="0"/>
          <c:cat>
            <c:strRef>
              <c:f>LCOCO2!$B$7:$B$12</c:f>
              <c:strCache>
                <c:ptCount val="6"/>
                <c:pt idx="0">
                  <c:v>DAC</c:v>
                </c:pt>
                <c:pt idx="1">
                  <c:v>BECCS, halm</c:v>
                </c:pt>
                <c:pt idx="2">
                  <c:v>BECCS, wood chips</c:v>
                </c:pt>
                <c:pt idx="3">
                  <c:v>Waste CCS</c:v>
                </c:pt>
                <c:pt idx="4">
                  <c:v>Waste CCS marginal</c:v>
                </c:pt>
                <c:pt idx="5">
                  <c:v>Cement, Kul</c:v>
                </c:pt>
              </c:strCache>
            </c:strRef>
          </c:cat>
          <c:val>
            <c:numRef>
              <c:f>LCOCO2!$G$7:$G$12</c:f>
              <c:numCache>
                <c:formatCode>General</c:formatCode>
                <c:ptCount val="6"/>
                <c:pt idx="0" formatCode="0.00">
                  <c:v>0</c:v>
                </c:pt>
                <c:pt idx="1">
                  <c:v>-662.68806209514491</c:v>
                </c:pt>
                <c:pt idx="2">
                  <c:v>-744.57193183678646</c:v>
                </c:pt>
                <c:pt idx="3">
                  <c:v>-5946.6618418018224</c:v>
                </c:pt>
                <c:pt idx="4">
                  <c:v>-5946.6618418018224</c:v>
                </c:pt>
                <c:pt idx="5">
                  <c:v>0</c:v>
                </c:pt>
              </c:numCache>
            </c:numRef>
          </c:val>
          <c:extLst>
            <c:ext xmlns:c16="http://schemas.microsoft.com/office/drawing/2014/chart" uri="{C3380CC4-5D6E-409C-BE32-E72D297353CC}">
              <c16:uniqueId val="{00000003-CD01-436D-A283-35F1B64FFF25}"/>
            </c:ext>
          </c:extLst>
        </c:ser>
        <c:ser>
          <c:idx val="4"/>
          <c:order val="4"/>
          <c:tx>
            <c:strRef>
              <c:f>LCOCO2!$H$6</c:f>
              <c:strCache>
                <c:ptCount val="1"/>
                <c:pt idx="0">
                  <c:v>Loss in revenue</c:v>
                </c:pt>
              </c:strCache>
            </c:strRef>
          </c:tx>
          <c:spPr>
            <a:solidFill>
              <a:schemeClr val="accent5"/>
            </a:solidFill>
            <a:ln>
              <a:noFill/>
            </a:ln>
            <a:effectLst/>
          </c:spPr>
          <c:invertIfNegative val="0"/>
          <c:cat>
            <c:strRef>
              <c:f>LCOCO2!$B$7:$B$12</c:f>
              <c:strCache>
                <c:ptCount val="6"/>
                <c:pt idx="0">
                  <c:v>DAC</c:v>
                </c:pt>
                <c:pt idx="1">
                  <c:v>BECCS, halm</c:v>
                </c:pt>
                <c:pt idx="2">
                  <c:v>BECCS, wood chips</c:v>
                </c:pt>
                <c:pt idx="3">
                  <c:v>Waste CCS</c:v>
                </c:pt>
                <c:pt idx="4">
                  <c:v>Waste CCS marginal</c:v>
                </c:pt>
                <c:pt idx="5">
                  <c:v>Cement, Kul</c:v>
                </c:pt>
              </c:strCache>
            </c:strRef>
          </c:cat>
          <c:val>
            <c:numRef>
              <c:f>LCOCO2!$H$7:$H$12</c:f>
              <c:numCache>
                <c:formatCode>General</c:formatCode>
                <c:ptCount val="6"/>
                <c:pt idx="4">
                  <c:v>90.507728835145201</c:v>
                </c:pt>
              </c:numCache>
            </c:numRef>
          </c:val>
          <c:extLst>
            <c:ext xmlns:c16="http://schemas.microsoft.com/office/drawing/2014/chart" uri="{C3380CC4-5D6E-409C-BE32-E72D297353CC}">
              <c16:uniqueId val="{00000004-CD01-436D-A283-35F1B64FFF25}"/>
            </c:ext>
          </c:extLst>
        </c:ser>
        <c:ser>
          <c:idx val="5"/>
          <c:order val="5"/>
          <c:tx>
            <c:strRef>
              <c:f>LCOCO2!$I$6</c:f>
              <c:strCache>
                <c:ptCount val="1"/>
                <c:pt idx="0">
                  <c:v>LCOCO2</c:v>
                </c:pt>
              </c:strCache>
            </c:strRef>
          </c:tx>
          <c:spPr>
            <a:solidFill>
              <a:schemeClr val="accent6"/>
            </a:solidFill>
            <a:ln>
              <a:noFill/>
            </a:ln>
            <a:effectLst/>
          </c:spPr>
          <c:invertIfNegative val="0"/>
          <c:cat>
            <c:strRef>
              <c:f>LCOCO2!$B$7:$B$12</c:f>
              <c:strCache>
                <c:ptCount val="6"/>
                <c:pt idx="0">
                  <c:v>DAC</c:v>
                </c:pt>
                <c:pt idx="1">
                  <c:v>BECCS, halm</c:v>
                </c:pt>
                <c:pt idx="2">
                  <c:v>BECCS, wood chips</c:v>
                </c:pt>
                <c:pt idx="3">
                  <c:v>Waste CCS</c:v>
                </c:pt>
                <c:pt idx="4">
                  <c:v>Waste CCS marginal</c:v>
                </c:pt>
                <c:pt idx="5">
                  <c:v>Cement, Kul</c:v>
                </c:pt>
              </c:strCache>
            </c:strRef>
          </c:cat>
          <c:val>
            <c:numRef>
              <c:f>LCOCO2!$I$7:$I$12</c:f>
              <c:numCache>
                <c:formatCode>0.00</c:formatCode>
                <c:ptCount val="6"/>
                <c:pt idx="0">
                  <c:v>1336.8208037369998</c:v>
                </c:pt>
                <c:pt idx="1">
                  <c:v>690.05883006317833</c:v>
                </c:pt>
                <c:pt idx="2">
                  <c:v>663.16276211244588</c:v>
                </c:pt>
                <c:pt idx="3">
                  <c:v>1594.8656248739071</c:v>
                </c:pt>
                <c:pt idx="4" formatCode="General">
                  <c:v>-90.792035200102589</c:v>
                </c:pt>
                <c:pt idx="5">
                  <c:v>526.01425433951977</c:v>
                </c:pt>
              </c:numCache>
            </c:numRef>
          </c:val>
          <c:extLst>
            <c:ext xmlns:c16="http://schemas.microsoft.com/office/drawing/2014/chart" uri="{C3380CC4-5D6E-409C-BE32-E72D297353CC}">
              <c16:uniqueId val="{00000005-CD01-436D-A283-35F1B64FFF25}"/>
            </c:ext>
          </c:extLst>
        </c:ser>
        <c:dLbls>
          <c:showLegendKey val="0"/>
          <c:showVal val="0"/>
          <c:showCatName val="0"/>
          <c:showSerName val="0"/>
          <c:showPercent val="0"/>
          <c:showBubbleSize val="0"/>
        </c:dLbls>
        <c:gapWidth val="219"/>
        <c:overlap val="100"/>
        <c:axId val="703958208"/>
        <c:axId val="703961816"/>
      </c:barChart>
      <c:scatterChart>
        <c:scatterStyle val="lineMarker"/>
        <c:varyColors val="0"/>
        <c:ser>
          <c:idx val="6"/>
          <c:order val="6"/>
          <c:tx>
            <c:strRef>
              <c:f>LCOCO2!$J$6</c:f>
              <c:strCache>
                <c:ptCount val="1"/>
                <c:pt idx="0">
                  <c:v>LCOCO2, marginal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strRef>
              <c:f>LCOCO2!$B$7:$B$12</c:f>
              <c:strCache>
                <c:ptCount val="6"/>
                <c:pt idx="0">
                  <c:v>DAC</c:v>
                </c:pt>
                <c:pt idx="1">
                  <c:v>BECCS, halm</c:v>
                </c:pt>
                <c:pt idx="2">
                  <c:v>BECCS, wood chips</c:v>
                </c:pt>
                <c:pt idx="3">
                  <c:v>Waste CCS</c:v>
                </c:pt>
                <c:pt idx="4">
                  <c:v>Waste CCS marginal</c:v>
                </c:pt>
                <c:pt idx="5">
                  <c:v>Cement, Kul</c:v>
                </c:pt>
              </c:strCache>
            </c:strRef>
          </c:xVal>
          <c:yVal>
            <c:numRef>
              <c:f>LCOCO2!$J$7:$J$12</c:f>
              <c:numCache>
                <c:formatCode>General</c:formatCode>
                <c:ptCount val="6"/>
                <c:pt idx="0">
                  <c:v>1336.8208037369998</c:v>
                </c:pt>
                <c:pt idx="1">
                  <c:v>690.05883006317833</c:v>
                </c:pt>
                <c:pt idx="2">
                  <c:v>663.16276211244588</c:v>
                </c:pt>
                <c:pt idx="3">
                  <c:v>1594.8656248739071</c:v>
                </c:pt>
                <c:pt idx="4">
                  <c:v>-90.792035200102589</c:v>
                </c:pt>
                <c:pt idx="5" formatCode="0.00">
                  <c:v>768.26894999999729</c:v>
                </c:pt>
              </c:numCache>
            </c:numRef>
          </c:yVal>
          <c:smooth val="0"/>
          <c:extLst>
            <c:ext xmlns:c16="http://schemas.microsoft.com/office/drawing/2014/chart" uri="{C3380CC4-5D6E-409C-BE32-E72D297353CC}">
              <c16:uniqueId val="{00000006-CD01-436D-A283-35F1B64FFF25}"/>
            </c:ext>
          </c:extLst>
        </c:ser>
        <c:dLbls>
          <c:showLegendKey val="0"/>
          <c:showVal val="0"/>
          <c:showCatName val="0"/>
          <c:showSerName val="0"/>
          <c:showPercent val="0"/>
          <c:showBubbleSize val="0"/>
        </c:dLbls>
        <c:axId val="703958208"/>
        <c:axId val="703961816"/>
      </c:scatterChart>
      <c:catAx>
        <c:axId val="703958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703961816"/>
        <c:crosses val="autoZero"/>
        <c:auto val="1"/>
        <c:lblAlgn val="ctr"/>
        <c:lblOffset val="100"/>
        <c:noMultiLvlLbl val="0"/>
      </c:catAx>
      <c:valAx>
        <c:axId val="703961816"/>
        <c:scaling>
          <c:orientation val="minMax"/>
          <c:max val="8000"/>
          <c:min val="-6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DK"/>
                  <a:t>DKK/t CO2</a:t>
                </a:r>
                <a:r>
                  <a:rPr lang="en-DK" baseline="0"/>
                  <a:t> captured</a:t>
                </a:r>
                <a:endParaRPr lang="da-DK"/>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a-DK"/>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7039582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DK"/>
              <a:t>LCOCO2 2050</a:t>
            </a:r>
            <a:endParaRPr lang="da-DK"/>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LCOCO2!$D$6</c:f>
              <c:strCache>
                <c:ptCount val="1"/>
                <c:pt idx="0">
                  <c:v>INV</c:v>
                </c:pt>
              </c:strCache>
            </c:strRef>
          </c:tx>
          <c:spPr>
            <a:solidFill>
              <a:schemeClr val="accent1"/>
            </a:solidFill>
            <a:ln>
              <a:noFill/>
            </a:ln>
            <a:effectLst/>
          </c:spPr>
          <c:invertIfNegative val="0"/>
          <c:cat>
            <c:strRef>
              <c:f>LCOCO2!$B$21:$B$26</c:f>
              <c:strCache>
                <c:ptCount val="6"/>
                <c:pt idx="0">
                  <c:v>DAC</c:v>
                </c:pt>
                <c:pt idx="1">
                  <c:v>BECCS, halm</c:v>
                </c:pt>
                <c:pt idx="2">
                  <c:v>BECCS, wood chips</c:v>
                </c:pt>
                <c:pt idx="3">
                  <c:v>Waste CCS</c:v>
                </c:pt>
                <c:pt idx="4">
                  <c:v>Waste CCS marginal</c:v>
                </c:pt>
                <c:pt idx="5">
                  <c:v>Cement, Kul</c:v>
                </c:pt>
              </c:strCache>
            </c:strRef>
          </c:cat>
          <c:val>
            <c:numRef>
              <c:f>LCOCO2!$D$21:$D$26</c:f>
              <c:numCache>
                <c:formatCode>General</c:formatCode>
                <c:ptCount val="6"/>
                <c:pt idx="0" formatCode="0.00">
                  <c:v>263.48668106142043</c:v>
                </c:pt>
                <c:pt idx="1">
                  <c:v>267.59323332437395</c:v>
                </c:pt>
                <c:pt idx="2">
                  <c:v>359.94316590406805</c:v>
                </c:pt>
                <c:pt idx="3">
                  <c:v>2175.6451280618721</c:v>
                </c:pt>
                <c:pt idx="4">
                  <c:v>671.28879592336398</c:v>
                </c:pt>
                <c:pt idx="5">
                  <c:v>124.79140258275869</c:v>
                </c:pt>
              </c:numCache>
            </c:numRef>
          </c:val>
          <c:extLst>
            <c:ext xmlns:c16="http://schemas.microsoft.com/office/drawing/2014/chart" uri="{C3380CC4-5D6E-409C-BE32-E72D297353CC}">
              <c16:uniqueId val="{00000000-8612-40F0-92CB-B02CE6949F5B}"/>
            </c:ext>
          </c:extLst>
        </c:ser>
        <c:ser>
          <c:idx val="1"/>
          <c:order val="1"/>
          <c:tx>
            <c:strRef>
              <c:f>LCOCO2!$E$6</c:f>
              <c:strCache>
                <c:ptCount val="1"/>
                <c:pt idx="0">
                  <c:v>O&amp;M</c:v>
                </c:pt>
              </c:strCache>
            </c:strRef>
          </c:tx>
          <c:spPr>
            <a:solidFill>
              <a:schemeClr val="accent2"/>
            </a:solidFill>
            <a:ln>
              <a:noFill/>
            </a:ln>
            <a:effectLst/>
          </c:spPr>
          <c:invertIfNegative val="0"/>
          <c:cat>
            <c:strRef>
              <c:f>LCOCO2!$B$21:$B$26</c:f>
              <c:strCache>
                <c:ptCount val="6"/>
                <c:pt idx="0">
                  <c:v>DAC</c:v>
                </c:pt>
                <c:pt idx="1">
                  <c:v>BECCS, halm</c:v>
                </c:pt>
                <c:pt idx="2">
                  <c:v>BECCS, wood chips</c:v>
                </c:pt>
                <c:pt idx="3">
                  <c:v>Waste CCS</c:v>
                </c:pt>
                <c:pt idx="4">
                  <c:v>Waste CCS marginal</c:v>
                </c:pt>
                <c:pt idx="5">
                  <c:v>Cement, Kul</c:v>
                </c:pt>
              </c:strCache>
            </c:strRef>
          </c:cat>
          <c:val>
            <c:numRef>
              <c:f>LCOCO2!$E$21:$E$26</c:f>
              <c:numCache>
                <c:formatCode>General</c:formatCode>
                <c:ptCount val="6"/>
                <c:pt idx="0" formatCode="0.00">
                  <c:v>177.25306416726747</c:v>
                </c:pt>
                <c:pt idx="1">
                  <c:v>104.50907208433492</c:v>
                </c:pt>
                <c:pt idx="2">
                  <c:v>122.29362725692832</c:v>
                </c:pt>
                <c:pt idx="3">
                  <c:v>1080.6473494436018</c:v>
                </c:pt>
                <c:pt idx="4">
                  <c:v>1359.5240847838863</c:v>
                </c:pt>
                <c:pt idx="5">
                  <c:v>71.654702582631032</c:v>
                </c:pt>
              </c:numCache>
            </c:numRef>
          </c:val>
          <c:extLst>
            <c:ext xmlns:c16="http://schemas.microsoft.com/office/drawing/2014/chart" uri="{C3380CC4-5D6E-409C-BE32-E72D297353CC}">
              <c16:uniqueId val="{00000001-8612-40F0-92CB-B02CE6949F5B}"/>
            </c:ext>
          </c:extLst>
        </c:ser>
        <c:ser>
          <c:idx val="2"/>
          <c:order val="2"/>
          <c:tx>
            <c:strRef>
              <c:f>LCOCO2!$F$6</c:f>
              <c:strCache>
                <c:ptCount val="1"/>
                <c:pt idx="0">
                  <c:v>Fuel</c:v>
                </c:pt>
              </c:strCache>
            </c:strRef>
          </c:tx>
          <c:spPr>
            <a:solidFill>
              <a:schemeClr val="accent3"/>
            </a:solidFill>
            <a:ln>
              <a:noFill/>
            </a:ln>
            <a:effectLst/>
          </c:spPr>
          <c:invertIfNegative val="0"/>
          <c:cat>
            <c:strRef>
              <c:f>LCOCO2!$B$21:$B$26</c:f>
              <c:strCache>
                <c:ptCount val="6"/>
                <c:pt idx="0">
                  <c:v>DAC</c:v>
                </c:pt>
                <c:pt idx="1">
                  <c:v>BECCS, halm</c:v>
                </c:pt>
                <c:pt idx="2">
                  <c:v>BECCS, wood chips</c:v>
                </c:pt>
                <c:pt idx="3">
                  <c:v>Waste CCS</c:v>
                </c:pt>
                <c:pt idx="4">
                  <c:v>Waste CCS marginal</c:v>
                </c:pt>
                <c:pt idx="5">
                  <c:v>Cement, Kul</c:v>
                </c:pt>
              </c:strCache>
            </c:strRef>
          </c:cat>
          <c:val>
            <c:numRef>
              <c:f>LCOCO2!$F$21:$F$26</c:f>
              <c:numCache>
                <c:formatCode>General</c:formatCode>
                <c:ptCount val="6"/>
                <c:pt idx="0" formatCode="0.00">
                  <c:v>276.71596389090053</c:v>
                </c:pt>
                <c:pt idx="1">
                  <c:v>1128.6893518013849</c:v>
                </c:pt>
                <c:pt idx="2">
                  <c:v>1064.1665801456556</c:v>
                </c:pt>
                <c:pt idx="3">
                  <c:v>-747.41374551996796</c:v>
                </c:pt>
                <c:pt idx="4">
                  <c:v>-747.41374551996796</c:v>
                </c:pt>
                <c:pt idx="5">
                  <c:v>250.06311146779967</c:v>
                </c:pt>
              </c:numCache>
            </c:numRef>
          </c:val>
          <c:extLst>
            <c:ext xmlns:c16="http://schemas.microsoft.com/office/drawing/2014/chart" uri="{C3380CC4-5D6E-409C-BE32-E72D297353CC}">
              <c16:uniqueId val="{00000002-8612-40F0-92CB-B02CE6949F5B}"/>
            </c:ext>
          </c:extLst>
        </c:ser>
        <c:ser>
          <c:idx val="3"/>
          <c:order val="3"/>
          <c:tx>
            <c:strRef>
              <c:f>LCOCO2!$G$6</c:f>
              <c:strCache>
                <c:ptCount val="1"/>
                <c:pt idx="0">
                  <c:v>Income</c:v>
                </c:pt>
              </c:strCache>
            </c:strRef>
          </c:tx>
          <c:spPr>
            <a:solidFill>
              <a:schemeClr val="accent4"/>
            </a:solidFill>
            <a:ln>
              <a:noFill/>
            </a:ln>
            <a:effectLst/>
          </c:spPr>
          <c:invertIfNegative val="0"/>
          <c:cat>
            <c:strRef>
              <c:f>LCOCO2!$B$21:$B$26</c:f>
              <c:strCache>
                <c:ptCount val="6"/>
                <c:pt idx="0">
                  <c:v>DAC</c:v>
                </c:pt>
                <c:pt idx="1">
                  <c:v>BECCS, halm</c:v>
                </c:pt>
                <c:pt idx="2">
                  <c:v>BECCS, wood chips</c:v>
                </c:pt>
                <c:pt idx="3">
                  <c:v>Waste CCS</c:v>
                </c:pt>
                <c:pt idx="4">
                  <c:v>Waste CCS marginal</c:v>
                </c:pt>
                <c:pt idx="5">
                  <c:v>Cement, Kul</c:v>
                </c:pt>
              </c:strCache>
            </c:strRef>
          </c:cat>
          <c:val>
            <c:numRef>
              <c:f>LCOCO2!$G$21:$G$26</c:f>
              <c:numCache>
                <c:formatCode>General</c:formatCode>
                <c:ptCount val="6"/>
                <c:pt idx="0" formatCode="0.00">
                  <c:v>0</c:v>
                </c:pt>
                <c:pt idx="1">
                  <c:v>-401.6627535220934</c:v>
                </c:pt>
                <c:pt idx="2">
                  <c:v>-393.79605910764531</c:v>
                </c:pt>
                <c:pt idx="3">
                  <c:v>-1140.4521948300169</c:v>
                </c:pt>
                <c:pt idx="4">
                  <c:v>-1140.4521948300169</c:v>
                </c:pt>
                <c:pt idx="5">
                  <c:v>0</c:v>
                </c:pt>
              </c:numCache>
            </c:numRef>
          </c:val>
          <c:extLst>
            <c:ext xmlns:c16="http://schemas.microsoft.com/office/drawing/2014/chart" uri="{C3380CC4-5D6E-409C-BE32-E72D297353CC}">
              <c16:uniqueId val="{00000003-8612-40F0-92CB-B02CE6949F5B}"/>
            </c:ext>
          </c:extLst>
        </c:ser>
        <c:ser>
          <c:idx val="4"/>
          <c:order val="4"/>
          <c:tx>
            <c:strRef>
              <c:f>LCOCO2!$H$6</c:f>
              <c:strCache>
                <c:ptCount val="1"/>
                <c:pt idx="0">
                  <c:v>Loss in revenue</c:v>
                </c:pt>
              </c:strCache>
            </c:strRef>
          </c:tx>
          <c:spPr>
            <a:solidFill>
              <a:schemeClr val="accent5"/>
            </a:solidFill>
            <a:ln>
              <a:noFill/>
            </a:ln>
            <a:effectLst/>
          </c:spPr>
          <c:invertIfNegative val="0"/>
          <c:cat>
            <c:strRef>
              <c:f>LCOCO2!$B$21:$B$26</c:f>
              <c:strCache>
                <c:ptCount val="6"/>
                <c:pt idx="0">
                  <c:v>DAC</c:v>
                </c:pt>
                <c:pt idx="1">
                  <c:v>BECCS, halm</c:v>
                </c:pt>
                <c:pt idx="2">
                  <c:v>BECCS, wood chips</c:v>
                </c:pt>
                <c:pt idx="3">
                  <c:v>Waste CCS</c:v>
                </c:pt>
                <c:pt idx="4">
                  <c:v>Waste CCS marginal</c:v>
                </c:pt>
                <c:pt idx="5">
                  <c:v>Cement, Kul</c:v>
                </c:pt>
              </c:strCache>
            </c:strRef>
          </c:cat>
          <c:val>
            <c:numRef>
              <c:f>LCOCO2!$H$21:$H$26</c:f>
              <c:numCache>
                <c:formatCode>General</c:formatCode>
                <c:ptCount val="6"/>
                <c:pt idx="4">
                  <c:v>114.04521948300172</c:v>
                </c:pt>
              </c:numCache>
            </c:numRef>
          </c:val>
          <c:extLst>
            <c:ext xmlns:c16="http://schemas.microsoft.com/office/drawing/2014/chart" uri="{C3380CC4-5D6E-409C-BE32-E72D297353CC}">
              <c16:uniqueId val="{00000004-8612-40F0-92CB-B02CE6949F5B}"/>
            </c:ext>
          </c:extLst>
        </c:ser>
        <c:ser>
          <c:idx val="5"/>
          <c:order val="5"/>
          <c:tx>
            <c:strRef>
              <c:f>LCOCO2!$I$6</c:f>
              <c:strCache>
                <c:ptCount val="1"/>
                <c:pt idx="0">
                  <c:v>LCOCO2</c:v>
                </c:pt>
              </c:strCache>
            </c:strRef>
          </c:tx>
          <c:spPr>
            <a:solidFill>
              <a:schemeClr val="accent6"/>
            </a:solidFill>
            <a:ln>
              <a:noFill/>
            </a:ln>
            <a:effectLst/>
          </c:spPr>
          <c:invertIfNegative val="0"/>
          <c:cat>
            <c:strRef>
              <c:f>LCOCO2!$B$21:$B$26</c:f>
              <c:strCache>
                <c:ptCount val="6"/>
                <c:pt idx="0">
                  <c:v>DAC</c:v>
                </c:pt>
                <c:pt idx="1">
                  <c:v>BECCS, halm</c:v>
                </c:pt>
                <c:pt idx="2">
                  <c:v>BECCS, wood chips</c:v>
                </c:pt>
                <c:pt idx="3">
                  <c:v>Waste CCS</c:v>
                </c:pt>
                <c:pt idx="4">
                  <c:v>Waste CCS marginal</c:v>
                </c:pt>
                <c:pt idx="5">
                  <c:v>Cement, Kul</c:v>
                </c:pt>
              </c:strCache>
            </c:strRef>
          </c:cat>
          <c:val>
            <c:numRef>
              <c:f>LCOCO2!$I$21:$I$26</c:f>
              <c:numCache>
                <c:formatCode>0.00</c:formatCode>
                <c:ptCount val="6"/>
                <c:pt idx="0">
                  <c:v>717.45570911958839</c:v>
                </c:pt>
                <c:pt idx="1">
                  <c:v>1099.1289036880005</c:v>
                </c:pt>
                <c:pt idx="2">
                  <c:v>1320.8973842504611</c:v>
                </c:pt>
                <c:pt idx="3">
                  <c:v>1368.4265371554895</c:v>
                </c:pt>
                <c:pt idx="4" formatCode="General">
                  <c:v>256.99215984026716</c:v>
                </c:pt>
                <c:pt idx="5">
                  <c:v>446.5092166331894</c:v>
                </c:pt>
              </c:numCache>
            </c:numRef>
          </c:val>
          <c:extLst>
            <c:ext xmlns:c16="http://schemas.microsoft.com/office/drawing/2014/chart" uri="{C3380CC4-5D6E-409C-BE32-E72D297353CC}">
              <c16:uniqueId val="{00000005-8612-40F0-92CB-B02CE6949F5B}"/>
            </c:ext>
          </c:extLst>
        </c:ser>
        <c:dLbls>
          <c:showLegendKey val="0"/>
          <c:showVal val="0"/>
          <c:showCatName val="0"/>
          <c:showSerName val="0"/>
          <c:showPercent val="0"/>
          <c:showBubbleSize val="0"/>
        </c:dLbls>
        <c:gapWidth val="219"/>
        <c:overlap val="100"/>
        <c:axId val="703958208"/>
        <c:axId val="703961816"/>
      </c:barChart>
      <c:scatterChart>
        <c:scatterStyle val="lineMarker"/>
        <c:varyColors val="0"/>
        <c:ser>
          <c:idx val="6"/>
          <c:order val="6"/>
          <c:tx>
            <c:strRef>
              <c:f>LCOCO2!$J$6</c:f>
              <c:strCache>
                <c:ptCount val="1"/>
                <c:pt idx="0">
                  <c:v>LCOCO2, marginal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strRef>
              <c:f>LCOCO2!$B$21:$B$26</c:f>
              <c:strCache>
                <c:ptCount val="6"/>
                <c:pt idx="0">
                  <c:v>DAC</c:v>
                </c:pt>
                <c:pt idx="1">
                  <c:v>BECCS, halm</c:v>
                </c:pt>
                <c:pt idx="2">
                  <c:v>BECCS, wood chips</c:v>
                </c:pt>
                <c:pt idx="3">
                  <c:v>Waste CCS</c:v>
                </c:pt>
                <c:pt idx="4">
                  <c:v>Waste CCS marginal</c:v>
                </c:pt>
                <c:pt idx="5">
                  <c:v>Cement, Kul</c:v>
                </c:pt>
              </c:strCache>
            </c:strRef>
          </c:xVal>
          <c:yVal>
            <c:numRef>
              <c:f>LCOCO2!$J$21:$J$26</c:f>
              <c:numCache>
                <c:formatCode>General</c:formatCode>
                <c:ptCount val="6"/>
                <c:pt idx="0">
                  <c:v>717.45570911958839</c:v>
                </c:pt>
                <c:pt idx="1">
                  <c:v>1099.1289036880005</c:v>
                </c:pt>
                <c:pt idx="2">
                  <c:v>1320.8973842504611</c:v>
                </c:pt>
                <c:pt idx="3">
                  <c:v>1368.4265371554895</c:v>
                </c:pt>
                <c:pt idx="4">
                  <c:v>256.99215984026716</c:v>
                </c:pt>
                <c:pt idx="5" formatCode="0.00">
                  <c:v>698.38196557942786</c:v>
                </c:pt>
              </c:numCache>
            </c:numRef>
          </c:yVal>
          <c:smooth val="0"/>
          <c:extLst>
            <c:ext xmlns:c16="http://schemas.microsoft.com/office/drawing/2014/chart" uri="{C3380CC4-5D6E-409C-BE32-E72D297353CC}">
              <c16:uniqueId val="{00000006-8612-40F0-92CB-B02CE6949F5B}"/>
            </c:ext>
          </c:extLst>
        </c:ser>
        <c:dLbls>
          <c:showLegendKey val="0"/>
          <c:showVal val="0"/>
          <c:showCatName val="0"/>
          <c:showSerName val="0"/>
          <c:showPercent val="0"/>
          <c:showBubbleSize val="0"/>
        </c:dLbls>
        <c:axId val="703958208"/>
        <c:axId val="703961816"/>
      </c:scatterChart>
      <c:catAx>
        <c:axId val="703958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703961816"/>
        <c:crosses val="autoZero"/>
        <c:auto val="1"/>
        <c:lblAlgn val="ctr"/>
        <c:lblOffset val="100"/>
        <c:noMultiLvlLbl val="0"/>
      </c:catAx>
      <c:valAx>
        <c:axId val="703961816"/>
        <c:scaling>
          <c:orientation val="minMax"/>
          <c:max val="8000"/>
          <c:min val="-6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DK"/>
                  <a:t>DKK/t CO2</a:t>
                </a:r>
                <a:r>
                  <a:rPr lang="en-DK" baseline="0"/>
                  <a:t> captured</a:t>
                </a:r>
                <a:endParaRPr lang="da-DK"/>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a-DK"/>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7039582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12</xdr:col>
      <xdr:colOff>396240</xdr:colOff>
      <xdr:row>3</xdr:row>
      <xdr:rowOff>137160</xdr:rowOff>
    </xdr:from>
    <xdr:to>
      <xdr:col>21</xdr:col>
      <xdr:colOff>449580</xdr:colOff>
      <xdr:row>24</xdr:row>
      <xdr:rowOff>148590</xdr:rowOff>
    </xdr:to>
    <xdr:graphicFrame macro="">
      <xdr:nvGraphicFramePr>
        <xdr:cNvPr id="5" name="Chart 4">
          <a:extLst>
            <a:ext uri="{FF2B5EF4-FFF2-40B4-BE49-F238E27FC236}">
              <a16:creationId xmlns:a16="http://schemas.microsoft.com/office/drawing/2014/main" id="{8F87DE6F-63F1-4F73-8129-5E982E17F5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335280</xdr:colOff>
      <xdr:row>4</xdr:row>
      <xdr:rowOff>68580</xdr:rowOff>
    </xdr:from>
    <xdr:to>
      <xdr:col>31</xdr:col>
      <xdr:colOff>388620</xdr:colOff>
      <xdr:row>25</xdr:row>
      <xdr:rowOff>80010</xdr:rowOff>
    </xdr:to>
    <xdr:graphicFrame macro="">
      <xdr:nvGraphicFramePr>
        <xdr:cNvPr id="6" name="Chart 5">
          <a:extLst>
            <a:ext uri="{FF2B5EF4-FFF2-40B4-BE49-F238E27FC236}">
              <a16:creationId xmlns:a16="http://schemas.microsoft.com/office/drawing/2014/main" id="{63510FDD-E807-4913-B655-3C9A05CF41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18</xdr:col>
      <xdr:colOff>38100</xdr:colOff>
      <xdr:row>7</xdr:row>
      <xdr:rowOff>19050</xdr:rowOff>
    </xdr:from>
    <xdr:to>
      <xdr:col>27</xdr:col>
      <xdr:colOff>485033</xdr:colOff>
      <xdr:row>24</xdr:row>
      <xdr:rowOff>161502</xdr:rowOff>
    </xdr:to>
    <xdr:pic>
      <xdr:nvPicPr>
        <xdr:cNvPr id="2" name="Picture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11696700" y="2466975"/>
          <a:ext cx="5933333" cy="338095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1</xdr:col>
      <xdr:colOff>60960</xdr:colOff>
      <xdr:row>4</xdr:row>
      <xdr:rowOff>53340</xdr:rowOff>
    </xdr:from>
    <xdr:ext cx="3973208" cy="1931035"/>
    <xdr:pic>
      <xdr:nvPicPr>
        <xdr:cNvPr id="2" name="Billede 1">
          <a:extLst>
            <a:ext uri="{FF2B5EF4-FFF2-40B4-BE49-F238E27FC236}">
              <a16:creationId xmlns:a16="http://schemas.microsoft.com/office/drawing/2014/main" id="{712FF343-FE15-4F5C-98E6-8B080932305A}"/>
            </a:ext>
          </a:extLst>
        </xdr:cNvPr>
        <xdr:cNvPicPr>
          <a:picLocks noChangeAspect="1"/>
        </xdr:cNvPicPr>
      </xdr:nvPicPr>
      <xdr:blipFill>
        <a:blip xmlns:r="http://schemas.openxmlformats.org/officeDocument/2006/relationships" r:embed="rId1"/>
        <a:stretch>
          <a:fillRect/>
        </a:stretch>
      </xdr:blipFill>
      <xdr:spPr>
        <a:xfrm>
          <a:off x="651510" y="815340"/>
          <a:ext cx="3973208" cy="1931035"/>
        </a:xfrm>
        <a:prstGeom prst="rect">
          <a:avLst/>
        </a:prstGeom>
      </xdr:spPr>
    </xdr:pic>
    <xdr:clientData/>
  </xdr:oneCellAnchor>
  <xdr:oneCellAnchor>
    <xdr:from>
      <xdr:col>1</xdr:col>
      <xdr:colOff>0</xdr:colOff>
      <xdr:row>17</xdr:row>
      <xdr:rowOff>0</xdr:rowOff>
    </xdr:from>
    <xdr:ext cx="4127500" cy="3363841"/>
    <xdr:pic>
      <xdr:nvPicPr>
        <xdr:cNvPr id="3" name="Billede 2">
          <a:extLst>
            <a:ext uri="{FF2B5EF4-FFF2-40B4-BE49-F238E27FC236}">
              <a16:creationId xmlns:a16="http://schemas.microsoft.com/office/drawing/2014/main" id="{5E7D8BD5-B8BC-4317-AF35-DCC8AFA3D3C4}"/>
            </a:ext>
          </a:extLst>
        </xdr:cNvPr>
        <xdr:cNvPicPr>
          <a:picLocks noChangeAspect="1"/>
        </xdr:cNvPicPr>
      </xdr:nvPicPr>
      <xdr:blipFill>
        <a:blip xmlns:r="http://schemas.openxmlformats.org/officeDocument/2006/relationships" r:embed="rId2"/>
        <a:stretch>
          <a:fillRect/>
        </a:stretch>
      </xdr:blipFill>
      <xdr:spPr>
        <a:xfrm>
          <a:off x="590550" y="3238500"/>
          <a:ext cx="4127500" cy="3363841"/>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RAMSES/RAMSES%20Data.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O:\03%20Team%20Modeller%20og%20analyser\Br&#230;ndselspriser\Br&#230;ndselspriser%202012\Regneark\Br&#230;ndselspriser%202012%20-%2020120628.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VEDA\VEDA_Models\TIMES-DK2\SubRES_TMPL\SubRes_ELC_Plants2020.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TIMES-Nordic_EMS\VT_DK_ELC.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SubRes_ELC_Plants2020.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VEDA\VEDA_Models\TIMES-DK2\SubRES_TMPL\SubRes_ELC_Plants2025.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Mikkel/TIMES-DK/SubRES_TMPL/SubRes_ELC_Plants2025.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RAMSES/Simuleringer/2012/2012-08-27/Rettelser_foretaget_i_DATA69_201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Data fra Sammenfatningsmodellen"/>
      <sheetName val="Vind- &amp; Biogasprognoser"/>
      <sheetName val="Udtræk Elkapaciteter"/>
    </sheetNames>
    <sheetDataSet>
      <sheetData sheetId="0">
        <row r="1">
          <cell r="A1" t="str">
            <v>RAMSES version 6.12 DATA SET</v>
          </cell>
        </row>
      </sheetData>
      <sheetData sheetId="1"/>
      <sheetData sheetId="2"/>
      <sheetData sheetId="3"/>
      <sheetData sheetId="4">
        <row r="2">
          <cell r="H2">
            <v>2004</v>
          </cell>
          <cell r="J2">
            <v>2035</v>
          </cell>
        </row>
        <row r="4">
          <cell r="J4" t="b">
            <v>1</v>
          </cell>
        </row>
        <row r="5">
          <cell r="J5" t="b">
            <v>1</v>
          </cell>
        </row>
        <row r="6">
          <cell r="J6">
            <v>1000</v>
          </cell>
        </row>
      </sheetData>
      <sheetData sheetId="5">
        <row r="11">
          <cell r="F11">
            <v>247</v>
          </cell>
        </row>
        <row r="14">
          <cell r="A14" t="str">
            <v>BiomassLargeCHP</v>
          </cell>
          <cell r="B14" t="str">
            <v>Eff.</v>
          </cell>
          <cell r="C14" t="str">
            <v>Cb</v>
          </cell>
          <cell r="D14" t="str">
            <v>Cv</v>
          </cell>
          <cell r="E14" t="str">
            <v>POutage</v>
          </cell>
          <cell r="F14" t="str">
            <v>UPOutage</v>
          </cell>
          <cell r="G14" t="str">
            <v>Invest</v>
          </cell>
          <cell r="H14" t="str">
            <v>O&amp;Mfixed</v>
          </cell>
          <cell r="I14" t="str">
            <v>O&amp;Mvar</v>
          </cell>
          <cell r="J14" t="str">
            <v>Desulp</v>
          </cell>
          <cell r="K14" t="str">
            <v>NO2</v>
          </cell>
          <cell r="L14" t="str">
            <v>CH4</v>
          </cell>
          <cell r="M14" t="str">
            <v>N2O</v>
          </cell>
          <cell r="O14" t="str">
            <v>OnshoreWindPark</v>
          </cell>
          <cell r="P14" t="str">
            <v>Eff.</v>
          </cell>
          <cell r="Q14" t="str">
            <v>Cb</v>
          </cell>
          <cell r="R14" t="str">
            <v>Cv</v>
          </cell>
          <cell r="S14" t="str">
            <v>POutage</v>
          </cell>
          <cell r="T14" t="str">
            <v>UPOutage</v>
          </cell>
          <cell r="U14" t="str">
            <v>Invest</v>
          </cell>
          <cell r="V14" t="str">
            <v>O&amp;Mfixed</v>
          </cell>
          <cell r="W14" t="str">
            <v>O&amp;Mvar</v>
          </cell>
          <cell r="X14" t="str">
            <v>Desulp</v>
          </cell>
          <cell r="Y14" t="str">
            <v>NO2</v>
          </cell>
          <cell r="Z14" t="str">
            <v>CH4</v>
          </cell>
          <cell r="AA14" t="str">
            <v>N2O</v>
          </cell>
        </row>
        <row r="15">
          <cell r="A15" t="str">
            <v>Investeringsår</v>
          </cell>
          <cell r="B15" t="str">
            <v>%</v>
          </cell>
          <cell r="C15" t="str">
            <v>p.u.</v>
          </cell>
          <cell r="D15" t="str">
            <v>p.u.</v>
          </cell>
          <cell r="E15" t="str">
            <v>%</v>
          </cell>
          <cell r="F15" t="str">
            <v>%</v>
          </cell>
          <cell r="G15" t="str">
            <v>Mkr./MW</v>
          </cell>
          <cell r="H15" t="str">
            <v>Mkr/MWy</v>
          </cell>
          <cell r="I15" t="str">
            <v>kr/MWh</v>
          </cell>
          <cell r="J15" t="str">
            <v>p.u</v>
          </cell>
          <cell r="K15" t="str">
            <v>g/GJ</v>
          </cell>
          <cell r="L15" t="str">
            <v>g/GJ</v>
          </cell>
          <cell r="M15" t="str">
            <v>g/GJ</v>
          </cell>
          <cell r="O15" t="str">
            <v>Investeringsår</v>
          </cell>
          <cell r="P15" t="str">
            <v>%</v>
          </cell>
          <cell r="Q15" t="str">
            <v>p.u.</v>
          </cell>
          <cell r="R15" t="str">
            <v>p.u.</v>
          </cell>
          <cell r="S15" t="str">
            <v>%</v>
          </cell>
          <cell r="T15" t="str">
            <v>%</v>
          </cell>
          <cell r="U15" t="str">
            <v>Mkr./MW</v>
          </cell>
          <cell r="V15" t="str">
            <v>Mkr/MWy</v>
          </cell>
          <cell r="W15" t="str">
            <v>kr/MWh</v>
          </cell>
          <cell r="X15" t="str">
            <v>p.u</v>
          </cell>
          <cell r="Y15" t="str">
            <v>g/GJ</v>
          </cell>
          <cell r="Z15" t="str">
            <v>g/GJ</v>
          </cell>
          <cell r="AA15" t="str">
            <v>g/GJ</v>
          </cell>
        </row>
        <row r="16">
          <cell r="A16">
            <v>2010</v>
          </cell>
          <cell r="B16">
            <v>0.437</v>
          </cell>
          <cell r="C16">
            <v>0.75</v>
          </cell>
          <cell r="D16">
            <v>0.15</v>
          </cell>
          <cell r="E16">
            <v>7.0000000000000007E-2</v>
          </cell>
          <cell r="F16">
            <v>7.0000000000000007E-2</v>
          </cell>
          <cell r="G16">
            <v>15.198</v>
          </cell>
          <cell r="H16">
            <v>0.42614000000000002</v>
          </cell>
          <cell r="I16">
            <v>14.9</v>
          </cell>
          <cell r="J16">
            <v>0.97</v>
          </cell>
          <cell r="K16">
            <v>38</v>
          </cell>
          <cell r="L16">
            <v>2</v>
          </cell>
          <cell r="M16">
            <v>0.8</v>
          </cell>
          <cell r="O16">
            <v>2010</v>
          </cell>
          <cell r="P16">
            <v>1</v>
          </cell>
          <cell r="Q16">
            <v>0</v>
          </cell>
          <cell r="R16">
            <v>0</v>
          </cell>
          <cell r="S16">
            <v>0</v>
          </cell>
          <cell r="T16">
            <v>0</v>
          </cell>
          <cell r="U16">
            <v>10.43</v>
          </cell>
          <cell r="V16">
            <v>0.15645000000000001</v>
          </cell>
          <cell r="W16">
            <v>52.15</v>
          </cell>
          <cell r="X16">
            <v>0</v>
          </cell>
          <cell r="Y16">
            <v>0</v>
          </cell>
          <cell r="Z16">
            <v>0</v>
          </cell>
          <cell r="AA16">
            <v>0</v>
          </cell>
        </row>
        <row r="17">
          <cell r="A17">
            <v>2011</v>
          </cell>
          <cell r="B17">
            <v>0.437</v>
          </cell>
          <cell r="C17">
            <v>0.75</v>
          </cell>
          <cell r="D17">
            <v>0.15</v>
          </cell>
          <cell r="E17">
            <v>7.0000000000000007E-2</v>
          </cell>
          <cell r="F17">
            <v>7.0000000000000007E-2</v>
          </cell>
          <cell r="G17">
            <v>15.198</v>
          </cell>
          <cell r="H17">
            <v>0.42614000000000002</v>
          </cell>
          <cell r="I17">
            <v>14.9</v>
          </cell>
          <cell r="J17">
            <v>0.97</v>
          </cell>
          <cell r="K17">
            <v>38</v>
          </cell>
          <cell r="L17">
            <v>2</v>
          </cell>
          <cell r="M17">
            <v>0.8</v>
          </cell>
          <cell r="O17">
            <v>2011</v>
          </cell>
          <cell r="P17">
            <v>1</v>
          </cell>
          <cell r="Q17">
            <v>0</v>
          </cell>
          <cell r="R17">
            <v>0</v>
          </cell>
          <cell r="S17">
            <v>0</v>
          </cell>
          <cell r="T17">
            <v>0</v>
          </cell>
          <cell r="U17">
            <v>10.43</v>
          </cell>
          <cell r="V17">
            <v>0.15645000000000001</v>
          </cell>
          <cell r="W17">
            <v>52.15</v>
          </cell>
          <cell r="X17">
            <v>0</v>
          </cell>
          <cell r="Y17">
            <v>0</v>
          </cell>
          <cell r="Z17">
            <v>0</v>
          </cell>
          <cell r="AA17">
            <v>0</v>
          </cell>
        </row>
        <row r="18">
          <cell r="A18">
            <v>2012</v>
          </cell>
          <cell r="B18">
            <v>0.437</v>
          </cell>
          <cell r="C18">
            <v>0.75</v>
          </cell>
          <cell r="D18">
            <v>0.15</v>
          </cell>
          <cell r="E18">
            <v>7.0000000000000007E-2</v>
          </cell>
          <cell r="F18">
            <v>7.0000000000000007E-2</v>
          </cell>
          <cell r="G18">
            <v>15.198</v>
          </cell>
          <cell r="H18">
            <v>0.42614000000000002</v>
          </cell>
          <cell r="I18">
            <v>14.9</v>
          </cell>
          <cell r="J18">
            <v>0.97</v>
          </cell>
          <cell r="K18">
            <v>38</v>
          </cell>
          <cell r="L18">
            <v>2</v>
          </cell>
          <cell r="M18">
            <v>0.8</v>
          </cell>
          <cell r="O18">
            <v>2012</v>
          </cell>
          <cell r="P18">
            <v>1</v>
          </cell>
          <cell r="Q18">
            <v>0</v>
          </cell>
          <cell r="R18">
            <v>0</v>
          </cell>
          <cell r="S18">
            <v>0</v>
          </cell>
          <cell r="T18">
            <v>0</v>
          </cell>
          <cell r="U18">
            <v>10.43</v>
          </cell>
          <cell r="V18">
            <v>0.15645000000000001</v>
          </cell>
          <cell r="W18">
            <v>52.15</v>
          </cell>
          <cell r="X18">
            <v>0</v>
          </cell>
          <cell r="Y18">
            <v>0</v>
          </cell>
          <cell r="Z18">
            <v>0</v>
          </cell>
          <cell r="AA18">
            <v>0</v>
          </cell>
        </row>
        <row r="19">
          <cell r="A19">
            <v>2013</v>
          </cell>
          <cell r="B19">
            <v>0.437</v>
          </cell>
          <cell r="C19">
            <v>0.75</v>
          </cell>
          <cell r="D19">
            <v>0.15</v>
          </cell>
          <cell r="E19">
            <v>7.0000000000000007E-2</v>
          </cell>
          <cell r="F19">
            <v>7.0000000000000007E-2</v>
          </cell>
          <cell r="G19">
            <v>15.198</v>
          </cell>
          <cell r="H19">
            <v>0.42614000000000002</v>
          </cell>
          <cell r="I19">
            <v>14.9</v>
          </cell>
          <cell r="J19">
            <v>0.97</v>
          </cell>
          <cell r="K19">
            <v>38</v>
          </cell>
          <cell r="L19">
            <v>2</v>
          </cell>
          <cell r="M19">
            <v>0.8</v>
          </cell>
          <cell r="O19">
            <v>2013</v>
          </cell>
          <cell r="P19">
            <v>1</v>
          </cell>
          <cell r="Q19">
            <v>0</v>
          </cell>
          <cell r="R19">
            <v>0</v>
          </cell>
          <cell r="S19">
            <v>0</v>
          </cell>
          <cell r="T19">
            <v>0</v>
          </cell>
          <cell r="U19">
            <v>10.43</v>
          </cell>
          <cell r="V19">
            <v>0.15645000000000001</v>
          </cell>
          <cell r="W19">
            <v>52.15</v>
          </cell>
          <cell r="X19">
            <v>0</v>
          </cell>
          <cell r="Y19">
            <v>0</v>
          </cell>
          <cell r="Z19">
            <v>0</v>
          </cell>
          <cell r="AA19">
            <v>0</v>
          </cell>
        </row>
        <row r="20">
          <cell r="A20">
            <v>2014</v>
          </cell>
          <cell r="B20">
            <v>0.437</v>
          </cell>
          <cell r="C20">
            <v>0.75</v>
          </cell>
          <cell r="D20">
            <v>0.15</v>
          </cell>
          <cell r="E20">
            <v>7.0000000000000007E-2</v>
          </cell>
          <cell r="F20">
            <v>7.0000000000000007E-2</v>
          </cell>
          <cell r="G20">
            <v>15.198</v>
          </cell>
          <cell r="H20">
            <v>0.42614000000000002</v>
          </cell>
          <cell r="I20">
            <v>14.9</v>
          </cell>
          <cell r="J20">
            <v>0.97</v>
          </cell>
          <cell r="K20">
            <v>38</v>
          </cell>
          <cell r="L20">
            <v>2</v>
          </cell>
          <cell r="M20">
            <v>0.8</v>
          </cell>
          <cell r="O20">
            <v>2014</v>
          </cell>
          <cell r="P20">
            <v>1</v>
          </cell>
          <cell r="Q20">
            <v>0</v>
          </cell>
          <cell r="R20">
            <v>0</v>
          </cell>
          <cell r="S20">
            <v>0</v>
          </cell>
          <cell r="T20">
            <v>0</v>
          </cell>
          <cell r="U20">
            <v>10.43</v>
          </cell>
          <cell r="V20">
            <v>0.15645000000000001</v>
          </cell>
          <cell r="W20">
            <v>52.15</v>
          </cell>
          <cell r="X20">
            <v>0</v>
          </cell>
          <cell r="Y20">
            <v>0</v>
          </cell>
          <cell r="Z20">
            <v>0</v>
          </cell>
          <cell r="AA20">
            <v>0</v>
          </cell>
        </row>
        <row r="21">
          <cell r="A21">
            <v>2015</v>
          </cell>
          <cell r="B21">
            <v>0.437</v>
          </cell>
          <cell r="C21">
            <v>0.75</v>
          </cell>
          <cell r="D21">
            <v>0.15</v>
          </cell>
          <cell r="E21">
            <v>7.0000000000000007E-2</v>
          </cell>
          <cell r="F21">
            <v>7.0000000000000007E-2</v>
          </cell>
          <cell r="G21">
            <v>15.198</v>
          </cell>
          <cell r="H21">
            <v>0.42614000000000002</v>
          </cell>
          <cell r="I21">
            <v>14.9</v>
          </cell>
          <cell r="J21">
            <v>0.97</v>
          </cell>
          <cell r="K21">
            <v>38</v>
          </cell>
          <cell r="L21">
            <v>2</v>
          </cell>
          <cell r="M21">
            <v>0.8</v>
          </cell>
          <cell r="O21">
            <v>2015</v>
          </cell>
          <cell r="P21">
            <v>1</v>
          </cell>
          <cell r="Q21">
            <v>0</v>
          </cell>
          <cell r="R21">
            <v>0</v>
          </cell>
          <cell r="S21">
            <v>0</v>
          </cell>
          <cell r="T21">
            <v>0</v>
          </cell>
          <cell r="U21">
            <v>10.43</v>
          </cell>
          <cell r="V21">
            <v>0.15645000000000001</v>
          </cell>
          <cell r="W21">
            <v>52.15</v>
          </cell>
          <cell r="X21">
            <v>0</v>
          </cell>
          <cell r="Y21">
            <v>0</v>
          </cell>
          <cell r="Z21">
            <v>0</v>
          </cell>
          <cell r="AA21">
            <v>0</v>
          </cell>
        </row>
        <row r="22">
          <cell r="A22">
            <v>2016</v>
          </cell>
          <cell r="B22">
            <v>0.44174999999999998</v>
          </cell>
          <cell r="C22">
            <v>0.76800000000000002</v>
          </cell>
          <cell r="D22">
            <v>0.15</v>
          </cell>
          <cell r="E22">
            <v>7.0000000000000007E-2</v>
          </cell>
          <cell r="F22">
            <v>7.0000000000000007E-2</v>
          </cell>
          <cell r="G22">
            <v>15.1831</v>
          </cell>
          <cell r="H22">
            <v>0.43269600000000003</v>
          </cell>
          <cell r="I22">
            <v>15.198</v>
          </cell>
          <cell r="J22">
            <v>0.97</v>
          </cell>
          <cell r="K22">
            <v>37.4</v>
          </cell>
          <cell r="L22">
            <v>2</v>
          </cell>
          <cell r="M22">
            <v>0.8</v>
          </cell>
          <cell r="O22">
            <v>2016</v>
          </cell>
          <cell r="P22">
            <v>1</v>
          </cell>
          <cell r="Q22">
            <v>0</v>
          </cell>
          <cell r="R22">
            <v>0</v>
          </cell>
          <cell r="S22">
            <v>0</v>
          </cell>
          <cell r="T22">
            <v>0</v>
          </cell>
          <cell r="U22">
            <v>10.3108</v>
          </cell>
          <cell r="V22">
            <v>0.15421499999999999</v>
          </cell>
          <cell r="W22">
            <v>51.405000000000001</v>
          </cell>
          <cell r="X22">
            <v>0</v>
          </cell>
          <cell r="Y22">
            <v>0</v>
          </cell>
          <cell r="Z22">
            <v>0</v>
          </cell>
          <cell r="AA22">
            <v>0</v>
          </cell>
        </row>
        <row r="23">
          <cell r="A23">
            <v>2017</v>
          </cell>
          <cell r="B23">
            <v>0.44649999999999995</v>
          </cell>
          <cell r="C23">
            <v>0.78600000000000003</v>
          </cell>
          <cell r="D23">
            <v>0.15</v>
          </cell>
          <cell r="E23">
            <v>7.0000000000000007E-2</v>
          </cell>
          <cell r="F23">
            <v>7.0000000000000007E-2</v>
          </cell>
          <cell r="G23">
            <v>15.168199999999999</v>
          </cell>
          <cell r="H23">
            <v>0.43925200000000003</v>
          </cell>
          <cell r="I23">
            <v>15.496</v>
          </cell>
          <cell r="J23">
            <v>0.97</v>
          </cell>
          <cell r="K23">
            <v>36.799999999999997</v>
          </cell>
          <cell r="L23">
            <v>2</v>
          </cell>
          <cell r="M23">
            <v>0.8</v>
          </cell>
          <cell r="O23">
            <v>2017</v>
          </cell>
          <cell r="P23">
            <v>1</v>
          </cell>
          <cell r="Q23">
            <v>0</v>
          </cell>
          <cell r="R23">
            <v>0</v>
          </cell>
          <cell r="S23">
            <v>0</v>
          </cell>
          <cell r="T23">
            <v>0</v>
          </cell>
          <cell r="U23">
            <v>10.191600000000001</v>
          </cell>
          <cell r="V23">
            <v>0.15197999999999998</v>
          </cell>
          <cell r="W23">
            <v>50.660000000000004</v>
          </cell>
          <cell r="X23">
            <v>0</v>
          </cell>
          <cell r="Y23">
            <v>0</v>
          </cell>
          <cell r="Z23">
            <v>0</v>
          </cell>
          <cell r="AA23">
            <v>0</v>
          </cell>
        </row>
        <row r="24">
          <cell r="A24">
            <v>2018</v>
          </cell>
          <cell r="B24">
            <v>0.45124999999999993</v>
          </cell>
          <cell r="C24">
            <v>0.80400000000000005</v>
          </cell>
          <cell r="D24">
            <v>0.15</v>
          </cell>
          <cell r="E24">
            <v>7.0000000000000007E-2</v>
          </cell>
          <cell r="F24">
            <v>7.0000000000000007E-2</v>
          </cell>
          <cell r="G24">
            <v>15.153299999999998</v>
          </cell>
          <cell r="H24">
            <v>0.44580800000000004</v>
          </cell>
          <cell r="I24">
            <v>15.794</v>
          </cell>
          <cell r="J24">
            <v>0.97</v>
          </cell>
          <cell r="K24">
            <v>36.199999999999996</v>
          </cell>
          <cell r="L24">
            <v>2</v>
          </cell>
          <cell r="M24">
            <v>0.8</v>
          </cell>
          <cell r="O24">
            <v>2018</v>
          </cell>
          <cell r="P24">
            <v>1</v>
          </cell>
          <cell r="Q24">
            <v>0</v>
          </cell>
          <cell r="R24">
            <v>0</v>
          </cell>
          <cell r="S24">
            <v>0</v>
          </cell>
          <cell r="T24">
            <v>0</v>
          </cell>
          <cell r="U24">
            <v>10.072400000000002</v>
          </cell>
          <cell r="V24">
            <v>0.14974499999999996</v>
          </cell>
          <cell r="W24">
            <v>49.915000000000006</v>
          </cell>
          <cell r="X24">
            <v>0</v>
          </cell>
          <cell r="Y24">
            <v>0</v>
          </cell>
          <cell r="Z24">
            <v>0</v>
          </cell>
          <cell r="AA24">
            <v>0</v>
          </cell>
        </row>
        <row r="25">
          <cell r="A25">
            <v>2019</v>
          </cell>
          <cell r="B25">
            <v>0.45599999999999991</v>
          </cell>
          <cell r="C25">
            <v>0.82200000000000006</v>
          </cell>
          <cell r="D25">
            <v>0.15</v>
          </cell>
          <cell r="E25">
            <v>7.0000000000000007E-2</v>
          </cell>
          <cell r="F25">
            <v>7.0000000000000007E-2</v>
          </cell>
          <cell r="G25">
            <v>15.138399999999997</v>
          </cell>
          <cell r="H25">
            <v>0.45236400000000004</v>
          </cell>
          <cell r="I25">
            <v>16.091999999999999</v>
          </cell>
          <cell r="J25">
            <v>0.97</v>
          </cell>
          <cell r="K25">
            <v>35.599999999999994</v>
          </cell>
          <cell r="L25">
            <v>2</v>
          </cell>
          <cell r="M25">
            <v>0.8</v>
          </cell>
          <cell r="O25">
            <v>2019</v>
          </cell>
          <cell r="P25">
            <v>1</v>
          </cell>
          <cell r="Q25">
            <v>0</v>
          </cell>
          <cell r="R25">
            <v>0</v>
          </cell>
          <cell r="S25">
            <v>0</v>
          </cell>
          <cell r="T25">
            <v>0</v>
          </cell>
          <cell r="U25">
            <v>9.9532000000000025</v>
          </cell>
          <cell r="V25">
            <v>0.14750999999999995</v>
          </cell>
          <cell r="W25">
            <v>49.170000000000009</v>
          </cell>
          <cell r="X25">
            <v>0</v>
          </cell>
          <cell r="Y25">
            <v>0</v>
          </cell>
          <cell r="Z25">
            <v>0</v>
          </cell>
          <cell r="AA25">
            <v>0</v>
          </cell>
        </row>
        <row r="26">
          <cell r="A26">
            <v>2020</v>
          </cell>
          <cell r="B26">
            <v>0.46074999999999999</v>
          </cell>
          <cell r="C26">
            <v>0.84</v>
          </cell>
          <cell r="D26">
            <v>0.15</v>
          </cell>
          <cell r="E26">
            <v>7.0000000000000007E-2</v>
          </cell>
          <cell r="F26">
            <v>7.0000000000000007E-2</v>
          </cell>
          <cell r="G26">
            <v>15.123499999999998</v>
          </cell>
          <cell r="H26">
            <v>0.45891999999999999</v>
          </cell>
          <cell r="I26">
            <v>16.39</v>
          </cell>
          <cell r="J26">
            <v>0.97</v>
          </cell>
          <cell r="K26">
            <v>35</v>
          </cell>
          <cell r="L26">
            <v>2</v>
          </cell>
          <cell r="M26">
            <v>0.8</v>
          </cell>
          <cell r="O26">
            <v>2020</v>
          </cell>
          <cell r="P26">
            <v>1</v>
          </cell>
          <cell r="Q26">
            <v>0</v>
          </cell>
          <cell r="R26">
            <v>0</v>
          </cell>
          <cell r="S26">
            <v>0</v>
          </cell>
          <cell r="T26">
            <v>0</v>
          </cell>
          <cell r="U26">
            <v>9.8340000000000014</v>
          </cell>
          <cell r="V26">
            <v>0.14527499999999999</v>
          </cell>
          <cell r="W26">
            <v>48.425000000000004</v>
          </cell>
          <cell r="X26">
            <v>0</v>
          </cell>
          <cell r="Y26">
            <v>0</v>
          </cell>
          <cell r="Z26">
            <v>0</v>
          </cell>
          <cell r="AA26">
            <v>0</v>
          </cell>
        </row>
        <row r="27">
          <cell r="A27">
            <v>2021</v>
          </cell>
          <cell r="B27">
            <v>0.46407500000000002</v>
          </cell>
          <cell r="C27">
            <v>0.85699999999999998</v>
          </cell>
          <cell r="D27">
            <v>0.15</v>
          </cell>
          <cell r="E27">
            <v>7.0000000000000007E-2</v>
          </cell>
          <cell r="F27">
            <v>7.0000000000000007E-2</v>
          </cell>
          <cell r="G27">
            <v>15.093699999999998</v>
          </cell>
          <cell r="H27">
            <v>0.45891999999999999</v>
          </cell>
          <cell r="I27">
            <v>16.39</v>
          </cell>
          <cell r="J27">
            <v>0.97</v>
          </cell>
          <cell r="K27">
            <v>35</v>
          </cell>
          <cell r="L27">
            <v>2</v>
          </cell>
          <cell r="M27">
            <v>0.8</v>
          </cell>
          <cell r="O27">
            <v>2021</v>
          </cell>
          <cell r="P27">
            <v>1</v>
          </cell>
          <cell r="Q27">
            <v>0</v>
          </cell>
          <cell r="R27">
            <v>0</v>
          </cell>
          <cell r="S27">
            <v>0</v>
          </cell>
          <cell r="T27">
            <v>0</v>
          </cell>
          <cell r="U27">
            <v>9.811650000000002</v>
          </cell>
          <cell r="V27">
            <v>0.14415749999999999</v>
          </cell>
          <cell r="W27">
            <v>48.052500000000002</v>
          </cell>
          <cell r="X27">
            <v>0</v>
          </cell>
          <cell r="Y27">
            <v>0</v>
          </cell>
          <cell r="Z27">
            <v>0</v>
          </cell>
          <cell r="AA27">
            <v>0</v>
          </cell>
        </row>
        <row r="28">
          <cell r="A28">
            <v>2022</v>
          </cell>
          <cell r="B28">
            <v>0.46740000000000004</v>
          </cell>
          <cell r="C28">
            <v>0.874</v>
          </cell>
          <cell r="D28">
            <v>0.15</v>
          </cell>
          <cell r="E28">
            <v>7.0000000000000007E-2</v>
          </cell>
          <cell r="F28">
            <v>7.0000000000000007E-2</v>
          </cell>
          <cell r="G28">
            <v>15.063899999999999</v>
          </cell>
          <cell r="H28">
            <v>0.45891999999999999</v>
          </cell>
          <cell r="I28">
            <v>16.39</v>
          </cell>
          <cell r="J28">
            <v>0.97</v>
          </cell>
          <cell r="K28">
            <v>35</v>
          </cell>
          <cell r="L28">
            <v>2</v>
          </cell>
          <cell r="M28">
            <v>0.8</v>
          </cell>
          <cell r="O28">
            <v>2022</v>
          </cell>
          <cell r="P28">
            <v>1</v>
          </cell>
          <cell r="Q28">
            <v>0</v>
          </cell>
          <cell r="R28">
            <v>0</v>
          </cell>
          <cell r="S28">
            <v>0</v>
          </cell>
          <cell r="T28">
            <v>0</v>
          </cell>
          <cell r="U28">
            <v>9.7893000000000026</v>
          </cell>
          <cell r="V28">
            <v>0.14304</v>
          </cell>
          <cell r="W28">
            <v>47.68</v>
          </cell>
          <cell r="X28">
            <v>0</v>
          </cell>
          <cell r="Y28">
            <v>0</v>
          </cell>
          <cell r="Z28">
            <v>0</v>
          </cell>
          <cell r="AA28">
            <v>0</v>
          </cell>
        </row>
        <row r="29">
          <cell r="A29">
            <v>2023</v>
          </cell>
          <cell r="B29">
            <v>0.47072500000000006</v>
          </cell>
          <cell r="C29">
            <v>0.89100000000000001</v>
          </cell>
          <cell r="D29">
            <v>0.15</v>
          </cell>
          <cell r="E29">
            <v>7.0000000000000007E-2</v>
          </cell>
          <cell r="F29">
            <v>7.0000000000000007E-2</v>
          </cell>
          <cell r="G29">
            <v>15.034099999999999</v>
          </cell>
          <cell r="H29">
            <v>0.45891999999999999</v>
          </cell>
          <cell r="I29">
            <v>16.39</v>
          </cell>
          <cell r="J29">
            <v>0.97</v>
          </cell>
          <cell r="K29">
            <v>35</v>
          </cell>
          <cell r="L29">
            <v>2</v>
          </cell>
          <cell r="M29">
            <v>0.8</v>
          </cell>
          <cell r="O29">
            <v>2023</v>
          </cell>
          <cell r="P29">
            <v>1</v>
          </cell>
          <cell r="Q29">
            <v>0</v>
          </cell>
          <cell r="R29">
            <v>0</v>
          </cell>
          <cell r="S29">
            <v>0</v>
          </cell>
          <cell r="T29">
            <v>0</v>
          </cell>
          <cell r="U29">
            <v>9.7669500000000031</v>
          </cell>
          <cell r="V29">
            <v>0.14192250000000001</v>
          </cell>
          <cell r="W29">
            <v>47.307499999999997</v>
          </cell>
          <cell r="X29">
            <v>0</v>
          </cell>
          <cell r="Y29">
            <v>0</v>
          </cell>
          <cell r="Z29">
            <v>0</v>
          </cell>
          <cell r="AA29">
            <v>0</v>
          </cell>
        </row>
        <row r="30">
          <cell r="A30">
            <v>2024</v>
          </cell>
          <cell r="B30">
            <v>0.47405000000000008</v>
          </cell>
          <cell r="C30">
            <v>0.90800000000000003</v>
          </cell>
          <cell r="D30">
            <v>0.15</v>
          </cell>
          <cell r="E30">
            <v>7.0000000000000007E-2</v>
          </cell>
          <cell r="F30">
            <v>7.0000000000000007E-2</v>
          </cell>
          <cell r="G30">
            <v>15.004299999999999</v>
          </cell>
          <cell r="H30">
            <v>0.45891999999999999</v>
          </cell>
          <cell r="I30">
            <v>16.39</v>
          </cell>
          <cell r="J30">
            <v>0.97</v>
          </cell>
          <cell r="K30">
            <v>35</v>
          </cell>
          <cell r="L30">
            <v>2</v>
          </cell>
          <cell r="M30">
            <v>0.8</v>
          </cell>
          <cell r="O30">
            <v>2024</v>
          </cell>
          <cell r="P30">
            <v>1</v>
          </cell>
          <cell r="Q30">
            <v>0</v>
          </cell>
          <cell r="R30">
            <v>0</v>
          </cell>
          <cell r="S30">
            <v>0</v>
          </cell>
          <cell r="T30">
            <v>0</v>
          </cell>
          <cell r="U30">
            <v>9.7446000000000037</v>
          </cell>
          <cell r="V30">
            <v>0.14080500000000001</v>
          </cell>
          <cell r="W30">
            <v>46.934999999999995</v>
          </cell>
          <cell r="X30">
            <v>0</v>
          </cell>
          <cell r="Y30">
            <v>0</v>
          </cell>
          <cell r="Z30">
            <v>0</v>
          </cell>
          <cell r="AA30">
            <v>0</v>
          </cell>
        </row>
        <row r="31">
          <cell r="A31">
            <v>2025</v>
          </cell>
          <cell r="B31">
            <v>0.4773750000000001</v>
          </cell>
          <cell r="C31">
            <v>0.92500000000000004</v>
          </cell>
          <cell r="D31">
            <v>0.15</v>
          </cell>
          <cell r="E31">
            <v>7.0000000000000007E-2</v>
          </cell>
          <cell r="F31">
            <v>7.0000000000000007E-2</v>
          </cell>
          <cell r="G31">
            <v>14.974499999999999</v>
          </cell>
          <cell r="H31">
            <v>0.45891999999999999</v>
          </cell>
          <cell r="I31">
            <v>16.39</v>
          </cell>
          <cell r="J31">
            <v>0.97</v>
          </cell>
          <cell r="K31">
            <v>35</v>
          </cell>
          <cell r="L31">
            <v>2</v>
          </cell>
          <cell r="M31">
            <v>0.8</v>
          </cell>
          <cell r="O31">
            <v>2025</v>
          </cell>
          <cell r="P31">
            <v>1</v>
          </cell>
          <cell r="Q31">
            <v>0</v>
          </cell>
          <cell r="R31">
            <v>0</v>
          </cell>
          <cell r="S31">
            <v>0</v>
          </cell>
          <cell r="T31">
            <v>0</v>
          </cell>
          <cell r="U31">
            <v>9.7222500000000043</v>
          </cell>
          <cell r="V31">
            <v>0.13968750000000002</v>
          </cell>
          <cell r="W31">
            <v>46.562499999999993</v>
          </cell>
          <cell r="X31">
            <v>0</v>
          </cell>
          <cell r="Y31">
            <v>0</v>
          </cell>
          <cell r="Z31">
            <v>0</v>
          </cell>
          <cell r="AA31">
            <v>0</v>
          </cell>
        </row>
        <row r="32">
          <cell r="A32">
            <v>2026</v>
          </cell>
          <cell r="B32">
            <v>0.48070000000000013</v>
          </cell>
          <cell r="C32">
            <v>0.94200000000000006</v>
          </cell>
          <cell r="D32">
            <v>0.15</v>
          </cell>
          <cell r="E32">
            <v>7.0000000000000007E-2</v>
          </cell>
          <cell r="F32">
            <v>7.0000000000000007E-2</v>
          </cell>
          <cell r="G32">
            <v>14.944699999999999</v>
          </cell>
          <cell r="H32">
            <v>0.45891999999999999</v>
          </cell>
          <cell r="I32">
            <v>16.39</v>
          </cell>
          <cell r="J32">
            <v>0.97</v>
          </cell>
          <cell r="K32">
            <v>35</v>
          </cell>
          <cell r="L32">
            <v>2</v>
          </cell>
          <cell r="M32">
            <v>0.8</v>
          </cell>
          <cell r="O32">
            <v>2026</v>
          </cell>
          <cell r="P32">
            <v>1</v>
          </cell>
          <cell r="Q32">
            <v>0</v>
          </cell>
          <cell r="R32">
            <v>0</v>
          </cell>
          <cell r="S32">
            <v>0</v>
          </cell>
          <cell r="T32">
            <v>0</v>
          </cell>
          <cell r="U32">
            <v>9.6999000000000049</v>
          </cell>
          <cell r="V32">
            <v>0.13857000000000003</v>
          </cell>
          <cell r="W32">
            <v>46.189999999999991</v>
          </cell>
          <cell r="X32">
            <v>0</v>
          </cell>
          <cell r="Y32">
            <v>0</v>
          </cell>
          <cell r="Z32">
            <v>0</v>
          </cell>
          <cell r="AA32">
            <v>0</v>
          </cell>
        </row>
        <row r="33">
          <cell r="A33">
            <v>2027</v>
          </cell>
          <cell r="B33">
            <v>0.48402500000000015</v>
          </cell>
          <cell r="C33">
            <v>0.95900000000000007</v>
          </cell>
          <cell r="D33">
            <v>0.15</v>
          </cell>
          <cell r="E33">
            <v>7.0000000000000007E-2</v>
          </cell>
          <cell r="F33">
            <v>7.0000000000000007E-2</v>
          </cell>
          <cell r="G33">
            <v>14.914899999999999</v>
          </cell>
          <cell r="H33">
            <v>0.45891999999999999</v>
          </cell>
          <cell r="I33">
            <v>16.39</v>
          </cell>
          <cell r="J33">
            <v>0.97</v>
          </cell>
          <cell r="K33">
            <v>35</v>
          </cell>
          <cell r="L33">
            <v>2</v>
          </cell>
          <cell r="M33">
            <v>0.8</v>
          </cell>
          <cell r="O33">
            <v>2027</v>
          </cell>
          <cell r="P33">
            <v>1</v>
          </cell>
          <cell r="Q33">
            <v>0</v>
          </cell>
          <cell r="R33">
            <v>0</v>
          </cell>
          <cell r="S33">
            <v>0</v>
          </cell>
          <cell r="T33">
            <v>0</v>
          </cell>
          <cell r="U33">
            <v>9.6775500000000054</v>
          </cell>
          <cell r="V33">
            <v>0.13745250000000003</v>
          </cell>
          <cell r="W33">
            <v>45.817499999999988</v>
          </cell>
          <cell r="X33">
            <v>0</v>
          </cell>
          <cell r="Y33">
            <v>0</v>
          </cell>
          <cell r="Z33">
            <v>0</v>
          </cell>
          <cell r="AA33">
            <v>0</v>
          </cell>
        </row>
        <row r="34">
          <cell r="A34">
            <v>2028</v>
          </cell>
          <cell r="B34">
            <v>0.48735000000000017</v>
          </cell>
          <cell r="C34">
            <v>0.97600000000000009</v>
          </cell>
          <cell r="D34">
            <v>0.15</v>
          </cell>
          <cell r="E34">
            <v>7.0000000000000007E-2</v>
          </cell>
          <cell r="F34">
            <v>7.0000000000000007E-2</v>
          </cell>
          <cell r="G34">
            <v>14.8851</v>
          </cell>
          <cell r="H34">
            <v>0.45891999999999999</v>
          </cell>
          <cell r="I34">
            <v>16.39</v>
          </cell>
          <cell r="J34">
            <v>0.97</v>
          </cell>
          <cell r="K34">
            <v>35</v>
          </cell>
          <cell r="L34">
            <v>2</v>
          </cell>
          <cell r="M34">
            <v>0.8</v>
          </cell>
          <cell r="O34">
            <v>2028</v>
          </cell>
          <cell r="P34">
            <v>1</v>
          </cell>
          <cell r="Q34">
            <v>0</v>
          </cell>
          <cell r="R34">
            <v>0</v>
          </cell>
          <cell r="S34">
            <v>0</v>
          </cell>
          <cell r="T34">
            <v>0</v>
          </cell>
          <cell r="U34">
            <v>9.655200000000006</v>
          </cell>
          <cell r="V34">
            <v>0.13633500000000004</v>
          </cell>
          <cell r="W34">
            <v>45.444999999999986</v>
          </cell>
          <cell r="X34">
            <v>0</v>
          </cell>
          <cell r="Y34">
            <v>0</v>
          </cell>
          <cell r="Z34">
            <v>0</v>
          </cell>
          <cell r="AA34">
            <v>0</v>
          </cell>
        </row>
        <row r="35">
          <cell r="A35">
            <v>2029</v>
          </cell>
          <cell r="B35">
            <v>0.49067500000000019</v>
          </cell>
          <cell r="C35">
            <v>0.9930000000000001</v>
          </cell>
          <cell r="D35">
            <v>0.15</v>
          </cell>
          <cell r="E35">
            <v>7.0000000000000007E-2</v>
          </cell>
          <cell r="F35">
            <v>7.0000000000000007E-2</v>
          </cell>
          <cell r="G35">
            <v>14.8553</v>
          </cell>
          <cell r="H35">
            <v>0.45891999999999999</v>
          </cell>
          <cell r="I35">
            <v>16.39</v>
          </cell>
          <cell r="J35">
            <v>0.97</v>
          </cell>
          <cell r="K35">
            <v>35</v>
          </cell>
          <cell r="L35">
            <v>2</v>
          </cell>
          <cell r="M35">
            <v>0.8</v>
          </cell>
          <cell r="O35">
            <v>2029</v>
          </cell>
          <cell r="P35">
            <v>1</v>
          </cell>
          <cell r="Q35">
            <v>0</v>
          </cell>
          <cell r="R35">
            <v>0</v>
          </cell>
          <cell r="S35">
            <v>0</v>
          </cell>
          <cell r="T35">
            <v>0</v>
          </cell>
          <cell r="U35">
            <v>9.6328500000000066</v>
          </cell>
          <cell r="V35">
            <v>0.13521750000000005</v>
          </cell>
          <cell r="W35">
            <v>45.072499999999984</v>
          </cell>
          <cell r="X35">
            <v>0</v>
          </cell>
          <cell r="Y35">
            <v>0</v>
          </cell>
          <cell r="Z35">
            <v>0</v>
          </cell>
          <cell r="AA35">
            <v>0</v>
          </cell>
        </row>
        <row r="36">
          <cell r="A36">
            <v>2030</v>
          </cell>
          <cell r="B36">
            <v>0.49399999999999999</v>
          </cell>
          <cell r="C36">
            <v>1.01</v>
          </cell>
          <cell r="D36">
            <v>0.15</v>
          </cell>
          <cell r="E36">
            <v>7.0000000000000007E-2</v>
          </cell>
          <cell r="F36">
            <v>7.0000000000000007E-2</v>
          </cell>
          <cell r="G36">
            <v>14.8255</v>
          </cell>
          <cell r="H36">
            <v>0.45891999999999999</v>
          </cell>
          <cell r="I36">
            <v>16.39</v>
          </cell>
          <cell r="J36">
            <v>0.97</v>
          </cell>
          <cell r="K36">
            <v>35</v>
          </cell>
          <cell r="L36">
            <v>2</v>
          </cell>
          <cell r="M36">
            <v>0.8</v>
          </cell>
          <cell r="O36">
            <v>2030</v>
          </cell>
          <cell r="P36">
            <v>1</v>
          </cell>
          <cell r="Q36">
            <v>0</v>
          </cell>
          <cell r="R36">
            <v>0</v>
          </cell>
          <cell r="S36">
            <v>0</v>
          </cell>
          <cell r="T36">
            <v>0</v>
          </cell>
          <cell r="U36">
            <v>9.6105</v>
          </cell>
          <cell r="V36">
            <v>0.1341</v>
          </cell>
          <cell r="W36">
            <v>44.7</v>
          </cell>
          <cell r="X36">
            <v>0</v>
          </cell>
          <cell r="Y36">
            <v>0</v>
          </cell>
          <cell r="Z36">
            <v>0</v>
          </cell>
          <cell r="AA36">
            <v>0</v>
          </cell>
        </row>
        <row r="37">
          <cell r="A37">
            <v>2031</v>
          </cell>
          <cell r="B37">
            <v>0.49399999999999999</v>
          </cell>
          <cell r="C37">
            <v>1.01</v>
          </cell>
          <cell r="D37">
            <v>0.15</v>
          </cell>
          <cell r="E37">
            <v>7.0000000000000007E-2</v>
          </cell>
          <cell r="F37">
            <v>7.0000000000000007E-2</v>
          </cell>
          <cell r="G37">
            <v>14.8255</v>
          </cell>
          <cell r="H37">
            <v>0.45891999999999999</v>
          </cell>
          <cell r="I37">
            <v>16.39</v>
          </cell>
          <cell r="J37">
            <v>0.97</v>
          </cell>
          <cell r="K37">
            <v>35</v>
          </cell>
          <cell r="L37">
            <v>2</v>
          </cell>
          <cell r="M37">
            <v>0.8</v>
          </cell>
          <cell r="O37">
            <v>2031</v>
          </cell>
          <cell r="P37">
            <v>1</v>
          </cell>
          <cell r="Q37">
            <v>0</v>
          </cell>
          <cell r="R37">
            <v>0</v>
          </cell>
          <cell r="S37">
            <v>0</v>
          </cell>
          <cell r="T37">
            <v>0</v>
          </cell>
          <cell r="U37">
            <v>9.6105</v>
          </cell>
          <cell r="V37">
            <v>0.1341</v>
          </cell>
          <cell r="W37">
            <v>44.7</v>
          </cell>
          <cell r="X37">
            <v>0</v>
          </cell>
          <cell r="Y37">
            <v>0</v>
          </cell>
          <cell r="Z37">
            <v>0</v>
          </cell>
          <cell r="AA37">
            <v>0</v>
          </cell>
        </row>
        <row r="38">
          <cell r="A38">
            <v>2032</v>
          </cell>
          <cell r="B38">
            <v>0.49399999999999999</v>
          </cell>
          <cell r="C38">
            <v>1.01</v>
          </cell>
          <cell r="D38">
            <v>0.15</v>
          </cell>
          <cell r="E38">
            <v>7.0000000000000007E-2</v>
          </cell>
          <cell r="F38">
            <v>7.0000000000000007E-2</v>
          </cell>
          <cell r="G38">
            <v>14.8255</v>
          </cell>
          <cell r="H38">
            <v>0.45891999999999999</v>
          </cell>
          <cell r="I38">
            <v>16.39</v>
          </cell>
          <cell r="J38">
            <v>0.97</v>
          </cell>
          <cell r="K38">
            <v>35</v>
          </cell>
          <cell r="L38">
            <v>2</v>
          </cell>
          <cell r="M38">
            <v>0.8</v>
          </cell>
          <cell r="O38">
            <v>2032</v>
          </cell>
          <cell r="P38">
            <v>1</v>
          </cell>
          <cell r="Q38">
            <v>0</v>
          </cell>
          <cell r="R38">
            <v>0</v>
          </cell>
          <cell r="S38">
            <v>0</v>
          </cell>
          <cell r="T38">
            <v>0</v>
          </cell>
          <cell r="U38">
            <v>9.6105</v>
          </cell>
          <cell r="V38">
            <v>0.1341</v>
          </cell>
          <cell r="W38">
            <v>44.7</v>
          </cell>
          <cell r="X38">
            <v>0</v>
          </cell>
          <cell r="Y38">
            <v>0</v>
          </cell>
          <cell r="Z38">
            <v>0</v>
          </cell>
          <cell r="AA38">
            <v>0</v>
          </cell>
        </row>
        <row r="39">
          <cell r="A39">
            <v>2033</v>
          </cell>
          <cell r="B39">
            <v>0.49399999999999999</v>
          </cell>
          <cell r="C39">
            <v>1.01</v>
          </cell>
          <cell r="D39">
            <v>0.15</v>
          </cell>
          <cell r="E39">
            <v>7.0000000000000007E-2</v>
          </cell>
          <cell r="F39">
            <v>7.0000000000000007E-2</v>
          </cell>
          <cell r="G39">
            <v>14.8255</v>
          </cell>
          <cell r="H39">
            <v>0.45891999999999999</v>
          </cell>
          <cell r="I39">
            <v>16.39</v>
          </cell>
          <cell r="J39">
            <v>0.97</v>
          </cell>
          <cell r="K39">
            <v>35</v>
          </cell>
          <cell r="L39">
            <v>2</v>
          </cell>
          <cell r="M39">
            <v>0.8</v>
          </cell>
          <cell r="O39">
            <v>2033</v>
          </cell>
          <cell r="P39">
            <v>1</v>
          </cell>
          <cell r="Q39">
            <v>0</v>
          </cell>
          <cell r="R39">
            <v>0</v>
          </cell>
          <cell r="S39">
            <v>0</v>
          </cell>
          <cell r="T39">
            <v>0</v>
          </cell>
          <cell r="U39">
            <v>9.6105</v>
          </cell>
          <cell r="V39">
            <v>0.1341</v>
          </cell>
          <cell r="W39">
            <v>44.7</v>
          </cell>
          <cell r="X39">
            <v>0</v>
          </cell>
          <cell r="Y39">
            <v>0</v>
          </cell>
          <cell r="Z39">
            <v>0</v>
          </cell>
          <cell r="AA39">
            <v>0</v>
          </cell>
        </row>
        <row r="40">
          <cell r="A40">
            <v>2034</v>
          </cell>
          <cell r="B40">
            <v>0.49399999999999999</v>
          </cell>
          <cell r="C40">
            <v>1.01</v>
          </cell>
          <cell r="D40">
            <v>0.15</v>
          </cell>
          <cell r="E40">
            <v>7.0000000000000007E-2</v>
          </cell>
          <cell r="F40">
            <v>7.0000000000000007E-2</v>
          </cell>
          <cell r="G40">
            <v>14.8255</v>
          </cell>
          <cell r="H40">
            <v>0.45891999999999999</v>
          </cell>
          <cell r="I40">
            <v>16.39</v>
          </cell>
          <cell r="J40">
            <v>0.97</v>
          </cell>
          <cell r="K40">
            <v>35</v>
          </cell>
          <cell r="L40">
            <v>2</v>
          </cell>
          <cell r="M40">
            <v>0.8</v>
          </cell>
          <cell r="O40">
            <v>2034</v>
          </cell>
          <cell r="P40">
            <v>1</v>
          </cell>
          <cell r="Q40">
            <v>0</v>
          </cell>
          <cell r="R40">
            <v>0</v>
          </cell>
          <cell r="S40">
            <v>0</v>
          </cell>
          <cell r="T40">
            <v>0</v>
          </cell>
          <cell r="U40">
            <v>9.6105</v>
          </cell>
          <cell r="V40">
            <v>0.1341</v>
          </cell>
          <cell r="W40">
            <v>44.7</v>
          </cell>
          <cell r="X40">
            <v>0</v>
          </cell>
          <cell r="Y40">
            <v>0</v>
          </cell>
          <cell r="Z40">
            <v>0</v>
          </cell>
          <cell r="AA40">
            <v>0</v>
          </cell>
        </row>
        <row r="41">
          <cell r="A41">
            <v>2035</v>
          </cell>
          <cell r="B41">
            <v>0.49399999999999999</v>
          </cell>
          <cell r="C41">
            <v>1.01</v>
          </cell>
          <cell r="D41">
            <v>0.15</v>
          </cell>
          <cell r="E41">
            <v>7.0000000000000007E-2</v>
          </cell>
          <cell r="F41">
            <v>7.0000000000000007E-2</v>
          </cell>
          <cell r="G41">
            <v>14.8255</v>
          </cell>
          <cell r="H41">
            <v>0.45891999999999999</v>
          </cell>
          <cell r="I41">
            <v>16.39</v>
          </cell>
          <cell r="J41">
            <v>0.97</v>
          </cell>
          <cell r="K41">
            <v>35</v>
          </cell>
          <cell r="L41">
            <v>2</v>
          </cell>
          <cell r="M41">
            <v>0.8</v>
          </cell>
          <cell r="O41">
            <v>2035</v>
          </cell>
          <cell r="P41">
            <v>1</v>
          </cell>
          <cell r="Q41">
            <v>0</v>
          </cell>
          <cell r="R41">
            <v>0</v>
          </cell>
          <cell r="S41">
            <v>0</v>
          </cell>
          <cell r="T41">
            <v>0</v>
          </cell>
          <cell r="U41">
            <v>9.6105</v>
          </cell>
          <cell r="V41">
            <v>0.1341</v>
          </cell>
          <cell r="W41">
            <v>44.7</v>
          </cell>
          <cell r="X41">
            <v>0</v>
          </cell>
          <cell r="Y41">
            <v>0</v>
          </cell>
          <cell r="Z41">
            <v>0</v>
          </cell>
          <cell r="AA41">
            <v>0</v>
          </cell>
        </row>
        <row r="43">
          <cell r="A43" t="str">
            <v>RefurbishedCoalBioCHP</v>
          </cell>
          <cell r="B43" t="str">
            <v>Eff.</v>
          </cell>
          <cell r="C43" t="str">
            <v>Cb</v>
          </cell>
          <cell r="D43" t="str">
            <v>Cv</v>
          </cell>
          <cell r="E43" t="str">
            <v>POutage</v>
          </cell>
          <cell r="F43" t="str">
            <v>UPOutage</v>
          </cell>
          <cell r="G43" t="str">
            <v>Invest</v>
          </cell>
          <cell r="H43" t="str">
            <v>O&amp;Mfixed</v>
          </cell>
          <cell r="I43" t="str">
            <v>O&amp;Mvar</v>
          </cell>
          <cell r="J43" t="str">
            <v>Desulp</v>
          </cell>
          <cell r="K43" t="str">
            <v>NO2</v>
          </cell>
          <cell r="L43" t="str">
            <v>CH4</v>
          </cell>
          <cell r="M43" t="str">
            <v>N2O</v>
          </cell>
          <cell r="O43" t="str">
            <v>OffshoreWindPark</v>
          </cell>
          <cell r="P43" t="str">
            <v>Eff.</v>
          </cell>
          <cell r="Q43" t="str">
            <v>Cb</v>
          </cell>
          <cell r="R43" t="str">
            <v>Cv</v>
          </cell>
          <cell r="S43" t="str">
            <v>POutage</v>
          </cell>
          <cell r="T43" t="str">
            <v>UPOutage</v>
          </cell>
          <cell r="U43" t="str">
            <v>Invest</v>
          </cell>
          <cell r="V43" t="str">
            <v>O&amp;Mfixed</v>
          </cell>
          <cell r="W43" t="str">
            <v>O&amp;Mvar</v>
          </cell>
          <cell r="X43" t="str">
            <v>Desulp</v>
          </cell>
          <cell r="Y43" t="str">
            <v>NO2</v>
          </cell>
          <cell r="Z43" t="str">
            <v>CH4</v>
          </cell>
          <cell r="AA43" t="str">
            <v>N2O</v>
          </cell>
        </row>
        <row r="44">
          <cell r="A44" t="str">
            <v>Investeringsår</v>
          </cell>
          <cell r="B44" t="str">
            <v>%</v>
          </cell>
          <cell r="C44" t="str">
            <v>p.u.</v>
          </cell>
          <cell r="D44" t="str">
            <v>p.u.</v>
          </cell>
          <cell r="E44" t="str">
            <v>%</v>
          </cell>
          <cell r="F44" t="str">
            <v>%</v>
          </cell>
          <cell r="G44" t="str">
            <v>Mkr./MW</v>
          </cell>
          <cell r="H44" t="str">
            <v>Mkr/MWy</v>
          </cell>
          <cell r="I44" t="str">
            <v>kr/MWh</v>
          </cell>
          <cell r="J44" t="str">
            <v>p.u</v>
          </cell>
          <cell r="K44" t="str">
            <v>g/GJ</v>
          </cell>
          <cell r="L44" t="str">
            <v>g/GJ</v>
          </cell>
          <cell r="M44" t="str">
            <v>g/GJ</v>
          </cell>
          <cell r="O44" t="str">
            <v>Investeringsår</v>
          </cell>
          <cell r="P44" t="str">
            <v>%</v>
          </cell>
          <cell r="Q44" t="str">
            <v>p.u.</v>
          </cell>
          <cell r="R44" t="str">
            <v>p.u.</v>
          </cell>
          <cell r="S44" t="str">
            <v>%</v>
          </cell>
          <cell r="T44" t="str">
            <v>%</v>
          </cell>
          <cell r="U44" t="str">
            <v>Mkr./MW</v>
          </cell>
          <cell r="V44" t="str">
            <v>Mkr/MWy</v>
          </cell>
          <cell r="W44" t="str">
            <v>kr/MWh</v>
          </cell>
          <cell r="X44" t="str">
            <v>p.u</v>
          </cell>
          <cell r="Y44" t="str">
            <v>g/GJ</v>
          </cell>
          <cell r="Z44" t="str">
            <v>g/GJ</v>
          </cell>
          <cell r="AA44" t="str">
            <v>g/GJ</v>
          </cell>
        </row>
        <row r="45">
          <cell r="A45">
            <v>2010</v>
          </cell>
          <cell r="E45">
            <v>7.0000000000000007E-2</v>
          </cell>
          <cell r="F45">
            <v>7.0000000000000007E-2</v>
          </cell>
          <cell r="G45">
            <v>1.341</v>
          </cell>
          <cell r="H45">
            <v>0</v>
          </cell>
          <cell r="I45">
            <v>0</v>
          </cell>
          <cell r="J45">
            <v>0.97</v>
          </cell>
          <cell r="K45">
            <v>38</v>
          </cell>
          <cell r="L45">
            <v>2</v>
          </cell>
          <cell r="M45">
            <v>0.8</v>
          </cell>
          <cell r="O45">
            <v>2010</v>
          </cell>
          <cell r="P45">
            <v>1</v>
          </cell>
          <cell r="Q45">
            <v>0</v>
          </cell>
          <cell r="R45">
            <v>0</v>
          </cell>
          <cell r="S45">
            <v>0</v>
          </cell>
          <cell r="T45">
            <v>0</v>
          </cell>
          <cell r="U45">
            <v>23.095000000000002</v>
          </cell>
          <cell r="V45">
            <v>0.28310000000000002</v>
          </cell>
          <cell r="W45">
            <v>70.775000000000006</v>
          </cell>
          <cell r="X45">
            <v>0</v>
          </cell>
          <cell r="Y45">
            <v>0</v>
          </cell>
          <cell r="Z45">
            <v>0</v>
          </cell>
          <cell r="AA45">
            <v>0</v>
          </cell>
        </row>
        <row r="46">
          <cell r="A46">
            <v>2011</v>
          </cell>
          <cell r="B46">
            <v>0</v>
          </cell>
          <cell r="C46">
            <v>0</v>
          </cell>
          <cell r="D46">
            <v>0</v>
          </cell>
          <cell r="E46">
            <v>7.0000000000000007E-2</v>
          </cell>
          <cell r="F46">
            <v>7.0000000000000007E-2</v>
          </cell>
          <cell r="G46">
            <v>1.341</v>
          </cell>
          <cell r="H46">
            <v>0</v>
          </cell>
          <cell r="I46">
            <v>0</v>
          </cell>
          <cell r="J46">
            <v>0.97</v>
          </cell>
          <cell r="K46">
            <v>38</v>
          </cell>
          <cell r="L46">
            <v>2</v>
          </cell>
          <cell r="M46">
            <v>0.8</v>
          </cell>
          <cell r="O46">
            <v>2011</v>
          </cell>
          <cell r="P46">
            <v>1</v>
          </cell>
          <cell r="Q46">
            <v>0</v>
          </cell>
          <cell r="R46">
            <v>0</v>
          </cell>
          <cell r="S46">
            <v>0</v>
          </cell>
          <cell r="T46">
            <v>0</v>
          </cell>
          <cell r="U46">
            <v>23.095000000000002</v>
          </cell>
          <cell r="V46">
            <v>0.28310000000000002</v>
          </cell>
          <cell r="W46">
            <v>70.775000000000006</v>
          </cell>
          <cell r="X46">
            <v>0</v>
          </cell>
          <cell r="Y46">
            <v>0</v>
          </cell>
          <cell r="Z46">
            <v>0</v>
          </cell>
          <cell r="AA46">
            <v>0</v>
          </cell>
        </row>
        <row r="47">
          <cell r="A47">
            <v>2012</v>
          </cell>
          <cell r="B47">
            <v>0</v>
          </cell>
          <cell r="C47">
            <v>0</v>
          </cell>
          <cell r="D47">
            <v>0</v>
          </cell>
          <cell r="E47">
            <v>7.0000000000000007E-2</v>
          </cell>
          <cell r="F47">
            <v>7.0000000000000007E-2</v>
          </cell>
          <cell r="G47">
            <v>1.341</v>
          </cell>
          <cell r="H47">
            <v>0</v>
          </cell>
          <cell r="I47">
            <v>0</v>
          </cell>
          <cell r="J47">
            <v>0.97</v>
          </cell>
          <cell r="K47">
            <v>38</v>
          </cell>
          <cell r="L47">
            <v>2</v>
          </cell>
          <cell r="M47">
            <v>0.8</v>
          </cell>
          <cell r="O47">
            <v>2012</v>
          </cell>
          <cell r="P47">
            <v>1</v>
          </cell>
          <cell r="Q47">
            <v>0</v>
          </cell>
          <cell r="R47">
            <v>0</v>
          </cell>
          <cell r="S47">
            <v>0</v>
          </cell>
          <cell r="T47">
            <v>0</v>
          </cell>
          <cell r="U47">
            <v>23.095000000000002</v>
          </cell>
          <cell r="V47">
            <v>0.28310000000000002</v>
          </cell>
          <cell r="W47">
            <v>70.775000000000006</v>
          </cell>
          <cell r="X47">
            <v>0</v>
          </cell>
          <cell r="Y47">
            <v>0</v>
          </cell>
          <cell r="Z47">
            <v>0</v>
          </cell>
          <cell r="AA47">
            <v>0</v>
          </cell>
        </row>
        <row r="48">
          <cell r="A48">
            <v>2013</v>
          </cell>
          <cell r="B48">
            <v>0</v>
          </cell>
          <cell r="C48">
            <v>0</v>
          </cell>
          <cell r="D48">
            <v>0</v>
          </cell>
          <cell r="E48">
            <v>7.0000000000000007E-2</v>
          </cell>
          <cell r="F48">
            <v>7.0000000000000007E-2</v>
          </cell>
          <cell r="G48">
            <v>1.341</v>
          </cell>
          <cell r="H48">
            <v>0</v>
          </cell>
          <cell r="I48">
            <v>0</v>
          </cell>
          <cell r="J48">
            <v>0.97</v>
          </cell>
          <cell r="K48">
            <v>38</v>
          </cell>
          <cell r="L48">
            <v>2</v>
          </cell>
          <cell r="M48">
            <v>0.8</v>
          </cell>
          <cell r="O48">
            <v>2013</v>
          </cell>
          <cell r="P48">
            <v>1</v>
          </cell>
          <cell r="Q48">
            <v>0</v>
          </cell>
          <cell r="R48">
            <v>0</v>
          </cell>
          <cell r="S48">
            <v>0</v>
          </cell>
          <cell r="T48">
            <v>0</v>
          </cell>
          <cell r="U48">
            <v>23.095000000000002</v>
          </cell>
          <cell r="V48">
            <v>0.28310000000000002</v>
          </cell>
          <cell r="W48">
            <v>70.775000000000006</v>
          </cell>
          <cell r="X48">
            <v>0</v>
          </cell>
          <cell r="Y48">
            <v>0</v>
          </cell>
          <cell r="Z48">
            <v>0</v>
          </cell>
          <cell r="AA48">
            <v>0</v>
          </cell>
        </row>
        <row r="49">
          <cell r="A49">
            <v>2014</v>
          </cell>
          <cell r="B49">
            <v>0</v>
          </cell>
          <cell r="C49">
            <v>0</v>
          </cell>
          <cell r="D49">
            <v>0</v>
          </cell>
          <cell r="E49">
            <v>7.0000000000000007E-2</v>
          </cell>
          <cell r="F49">
            <v>7.0000000000000007E-2</v>
          </cell>
          <cell r="G49">
            <v>1.341</v>
          </cell>
          <cell r="H49">
            <v>0</v>
          </cell>
          <cell r="I49">
            <v>0</v>
          </cell>
          <cell r="J49">
            <v>0.97</v>
          </cell>
          <cell r="K49">
            <v>38</v>
          </cell>
          <cell r="L49">
            <v>2</v>
          </cell>
          <cell r="M49">
            <v>0.8</v>
          </cell>
          <cell r="O49">
            <v>2014</v>
          </cell>
          <cell r="P49">
            <v>1</v>
          </cell>
          <cell r="Q49">
            <v>0</v>
          </cell>
          <cell r="R49">
            <v>0</v>
          </cell>
          <cell r="S49">
            <v>0</v>
          </cell>
          <cell r="T49">
            <v>0</v>
          </cell>
          <cell r="U49">
            <v>23.095000000000002</v>
          </cell>
          <cell r="V49">
            <v>0.28310000000000002</v>
          </cell>
          <cell r="W49">
            <v>70.775000000000006</v>
          </cell>
          <cell r="X49">
            <v>0</v>
          </cell>
          <cell r="Y49">
            <v>0</v>
          </cell>
          <cell r="Z49">
            <v>0</v>
          </cell>
          <cell r="AA49">
            <v>0</v>
          </cell>
        </row>
        <row r="50">
          <cell r="A50">
            <v>2015</v>
          </cell>
          <cell r="E50">
            <v>7.0000000000000007E-2</v>
          </cell>
          <cell r="F50">
            <v>7.0000000000000007E-2</v>
          </cell>
          <cell r="G50">
            <v>1.341</v>
          </cell>
          <cell r="H50">
            <v>0</v>
          </cell>
          <cell r="I50">
            <v>0</v>
          </cell>
          <cell r="J50">
            <v>0.97</v>
          </cell>
          <cell r="K50">
            <v>38</v>
          </cell>
          <cell r="L50">
            <v>2</v>
          </cell>
          <cell r="M50">
            <v>0.8</v>
          </cell>
          <cell r="O50">
            <v>2015</v>
          </cell>
          <cell r="P50">
            <v>1</v>
          </cell>
          <cell r="Q50">
            <v>0</v>
          </cell>
          <cell r="R50">
            <v>0</v>
          </cell>
          <cell r="S50">
            <v>0</v>
          </cell>
          <cell r="T50">
            <v>0</v>
          </cell>
          <cell r="U50">
            <v>23.095000000000002</v>
          </cell>
          <cell r="V50">
            <v>0.28310000000000002</v>
          </cell>
          <cell r="W50">
            <v>70.775000000000006</v>
          </cell>
          <cell r="X50">
            <v>0</v>
          </cell>
          <cell r="Y50">
            <v>0</v>
          </cell>
          <cell r="Z50">
            <v>0</v>
          </cell>
          <cell r="AA50">
            <v>0</v>
          </cell>
        </row>
        <row r="51">
          <cell r="A51">
            <v>2016</v>
          </cell>
          <cell r="B51">
            <v>0</v>
          </cell>
          <cell r="C51">
            <v>0</v>
          </cell>
          <cell r="D51">
            <v>0</v>
          </cell>
          <cell r="E51">
            <v>7.0000000000000007E-2</v>
          </cell>
          <cell r="F51">
            <v>7.0000000000000007E-2</v>
          </cell>
          <cell r="G51">
            <v>1.341</v>
          </cell>
          <cell r="H51">
            <v>0</v>
          </cell>
          <cell r="I51">
            <v>0</v>
          </cell>
          <cell r="J51">
            <v>0.97</v>
          </cell>
          <cell r="K51">
            <v>37.4</v>
          </cell>
          <cell r="L51">
            <v>2</v>
          </cell>
          <cell r="M51">
            <v>0.8</v>
          </cell>
          <cell r="O51">
            <v>2016</v>
          </cell>
          <cell r="P51">
            <v>1</v>
          </cell>
          <cell r="Q51">
            <v>0</v>
          </cell>
          <cell r="R51">
            <v>0</v>
          </cell>
          <cell r="S51">
            <v>0</v>
          </cell>
          <cell r="T51">
            <v>0</v>
          </cell>
          <cell r="U51">
            <v>22.052000000000003</v>
          </cell>
          <cell r="V51">
            <v>0.27714</v>
          </cell>
          <cell r="W51">
            <v>69.285000000000011</v>
          </cell>
          <cell r="X51">
            <v>0</v>
          </cell>
          <cell r="Y51">
            <v>0</v>
          </cell>
          <cell r="Z51">
            <v>0</v>
          </cell>
          <cell r="AA51">
            <v>0</v>
          </cell>
        </row>
        <row r="52">
          <cell r="A52">
            <v>2017</v>
          </cell>
          <cell r="B52">
            <v>0</v>
          </cell>
          <cell r="C52">
            <v>0</v>
          </cell>
          <cell r="D52">
            <v>0</v>
          </cell>
          <cell r="E52">
            <v>7.0000000000000007E-2</v>
          </cell>
          <cell r="F52">
            <v>7.0000000000000007E-2</v>
          </cell>
          <cell r="G52">
            <v>1.341</v>
          </cell>
          <cell r="H52">
            <v>0</v>
          </cell>
          <cell r="I52">
            <v>0</v>
          </cell>
          <cell r="J52">
            <v>0.97</v>
          </cell>
          <cell r="K52">
            <v>36.799999999999997</v>
          </cell>
          <cell r="L52">
            <v>2</v>
          </cell>
          <cell r="M52">
            <v>0.8</v>
          </cell>
          <cell r="O52">
            <v>2017</v>
          </cell>
          <cell r="P52">
            <v>1</v>
          </cell>
          <cell r="Q52">
            <v>0</v>
          </cell>
          <cell r="R52">
            <v>0</v>
          </cell>
          <cell r="S52">
            <v>0</v>
          </cell>
          <cell r="T52">
            <v>0</v>
          </cell>
          <cell r="U52">
            <v>21.009000000000004</v>
          </cell>
          <cell r="V52">
            <v>0.27117999999999998</v>
          </cell>
          <cell r="W52">
            <v>67.795000000000016</v>
          </cell>
          <cell r="X52">
            <v>0</v>
          </cell>
          <cell r="Y52">
            <v>0</v>
          </cell>
          <cell r="Z52">
            <v>0</v>
          </cell>
          <cell r="AA52">
            <v>0</v>
          </cell>
        </row>
        <row r="53">
          <cell r="A53">
            <v>2018</v>
          </cell>
          <cell r="B53">
            <v>0</v>
          </cell>
          <cell r="C53">
            <v>0</v>
          </cell>
          <cell r="D53">
            <v>0</v>
          </cell>
          <cell r="E53">
            <v>7.0000000000000007E-2</v>
          </cell>
          <cell r="F53">
            <v>7.0000000000000007E-2</v>
          </cell>
          <cell r="G53">
            <v>1.341</v>
          </cell>
          <cell r="H53">
            <v>0</v>
          </cell>
          <cell r="I53">
            <v>0</v>
          </cell>
          <cell r="J53">
            <v>0.97</v>
          </cell>
          <cell r="K53">
            <v>36.199999999999996</v>
          </cell>
          <cell r="L53">
            <v>2</v>
          </cell>
          <cell r="M53">
            <v>0.8</v>
          </cell>
          <cell r="O53">
            <v>2018</v>
          </cell>
          <cell r="P53">
            <v>1</v>
          </cell>
          <cell r="Q53">
            <v>0</v>
          </cell>
          <cell r="R53">
            <v>0</v>
          </cell>
          <cell r="S53">
            <v>0</v>
          </cell>
          <cell r="T53">
            <v>0</v>
          </cell>
          <cell r="U53">
            <v>19.966000000000005</v>
          </cell>
          <cell r="V53">
            <v>0.26521999999999996</v>
          </cell>
          <cell r="W53">
            <v>66.305000000000021</v>
          </cell>
          <cell r="X53">
            <v>0</v>
          </cell>
          <cell r="Y53">
            <v>0</v>
          </cell>
          <cell r="Z53">
            <v>0</v>
          </cell>
          <cell r="AA53">
            <v>0</v>
          </cell>
        </row>
        <row r="54">
          <cell r="A54">
            <v>2019</v>
          </cell>
          <cell r="B54">
            <v>0</v>
          </cell>
          <cell r="C54">
            <v>0</v>
          </cell>
          <cell r="D54">
            <v>0</v>
          </cell>
          <cell r="E54">
            <v>7.0000000000000007E-2</v>
          </cell>
          <cell r="F54">
            <v>7.0000000000000007E-2</v>
          </cell>
          <cell r="G54">
            <v>1.341</v>
          </cell>
          <cell r="H54">
            <v>0</v>
          </cell>
          <cell r="I54">
            <v>0</v>
          </cell>
          <cell r="J54">
            <v>0.97</v>
          </cell>
          <cell r="K54">
            <v>35.599999999999994</v>
          </cell>
          <cell r="L54">
            <v>2</v>
          </cell>
          <cell r="M54">
            <v>0.8</v>
          </cell>
          <cell r="O54">
            <v>2019</v>
          </cell>
          <cell r="P54">
            <v>1</v>
          </cell>
          <cell r="Q54">
            <v>0</v>
          </cell>
          <cell r="R54">
            <v>0</v>
          </cell>
          <cell r="S54">
            <v>0</v>
          </cell>
          <cell r="T54">
            <v>0</v>
          </cell>
          <cell r="U54">
            <v>18.923000000000005</v>
          </cell>
          <cell r="V54">
            <v>0.25925999999999993</v>
          </cell>
          <cell r="W54">
            <v>64.815000000000026</v>
          </cell>
          <cell r="X54">
            <v>0</v>
          </cell>
          <cell r="Y54">
            <v>0</v>
          </cell>
          <cell r="Z54">
            <v>0</v>
          </cell>
          <cell r="AA54">
            <v>0</v>
          </cell>
        </row>
        <row r="55">
          <cell r="A55">
            <v>2020</v>
          </cell>
          <cell r="E55">
            <v>7.0000000000000007E-2</v>
          </cell>
          <cell r="F55">
            <v>7.0000000000000007E-2</v>
          </cell>
          <cell r="G55">
            <v>1.341</v>
          </cell>
          <cell r="H55">
            <v>0</v>
          </cell>
          <cell r="I55">
            <v>0</v>
          </cell>
          <cell r="J55">
            <v>0.97</v>
          </cell>
          <cell r="K55">
            <v>35</v>
          </cell>
          <cell r="L55">
            <v>2</v>
          </cell>
          <cell r="M55">
            <v>0.8</v>
          </cell>
          <cell r="O55">
            <v>2020</v>
          </cell>
          <cell r="P55">
            <v>1</v>
          </cell>
          <cell r="Q55">
            <v>0</v>
          </cell>
          <cell r="R55">
            <v>0</v>
          </cell>
          <cell r="S55">
            <v>0</v>
          </cell>
          <cell r="T55">
            <v>0</v>
          </cell>
          <cell r="U55">
            <v>17.88</v>
          </cell>
          <cell r="V55">
            <v>0.25330000000000003</v>
          </cell>
          <cell r="W55">
            <v>63.325000000000003</v>
          </cell>
          <cell r="X55">
            <v>0</v>
          </cell>
          <cell r="Y55">
            <v>0</v>
          </cell>
          <cell r="Z55">
            <v>0</v>
          </cell>
          <cell r="AA55">
            <v>0</v>
          </cell>
        </row>
        <row r="56">
          <cell r="A56">
            <v>2021</v>
          </cell>
          <cell r="B56">
            <v>0</v>
          </cell>
          <cell r="C56">
            <v>0</v>
          </cell>
          <cell r="D56">
            <v>0</v>
          </cell>
          <cell r="E56">
            <v>7.0000000000000007E-2</v>
          </cell>
          <cell r="F56">
            <v>7.0000000000000007E-2</v>
          </cell>
          <cell r="G56">
            <v>1.341</v>
          </cell>
          <cell r="H56">
            <v>0</v>
          </cell>
          <cell r="I56">
            <v>0</v>
          </cell>
          <cell r="J56">
            <v>0.97</v>
          </cell>
          <cell r="K56">
            <v>35</v>
          </cell>
          <cell r="L56">
            <v>2</v>
          </cell>
          <cell r="M56">
            <v>0.8</v>
          </cell>
          <cell r="O56">
            <v>2021</v>
          </cell>
          <cell r="P56">
            <v>1</v>
          </cell>
          <cell r="Q56">
            <v>0</v>
          </cell>
          <cell r="R56">
            <v>0</v>
          </cell>
          <cell r="S56">
            <v>0</v>
          </cell>
          <cell r="T56">
            <v>0</v>
          </cell>
          <cell r="U56">
            <v>17.805499999999999</v>
          </cell>
          <cell r="V56">
            <v>0.25181000000000003</v>
          </cell>
          <cell r="W56">
            <v>62.952500000000001</v>
          </cell>
          <cell r="X56">
            <v>0</v>
          </cell>
          <cell r="Y56">
            <v>0</v>
          </cell>
          <cell r="Z56">
            <v>0</v>
          </cell>
          <cell r="AA56">
            <v>0</v>
          </cell>
        </row>
        <row r="57">
          <cell r="A57">
            <v>2022</v>
          </cell>
          <cell r="B57">
            <v>0</v>
          </cell>
          <cell r="C57">
            <v>0</v>
          </cell>
          <cell r="D57">
            <v>0</v>
          </cell>
          <cell r="E57">
            <v>7.0000000000000007E-2</v>
          </cell>
          <cell r="F57">
            <v>7.0000000000000007E-2</v>
          </cell>
          <cell r="G57">
            <v>1.341</v>
          </cell>
          <cell r="H57">
            <v>0</v>
          </cell>
          <cell r="I57">
            <v>0</v>
          </cell>
          <cell r="J57">
            <v>0.97</v>
          </cell>
          <cell r="K57">
            <v>35</v>
          </cell>
          <cell r="L57">
            <v>2</v>
          </cell>
          <cell r="M57">
            <v>0.8</v>
          </cell>
          <cell r="O57">
            <v>2022</v>
          </cell>
          <cell r="P57">
            <v>1</v>
          </cell>
          <cell r="Q57">
            <v>0</v>
          </cell>
          <cell r="R57">
            <v>0</v>
          </cell>
          <cell r="S57">
            <v>0</v>
          </cell>
          <cell r="T57">
            <v>0</v>
          </cell>
          <cell r="U57">
            <v>17.730999999999998</v>
          </cell>
          <cell r="V57">
            <v>0.25032000000000004</v>
          </cell>
          <cell r="W57">
            <v>62.58</v>
          </cell>
          <cell r="X57">
            <v>0</v>
          </cell>
          <cell r="Y57">
            <v>0</v>
          </cell>
          <cell r="Z57">
            <v>0</v>
          </cell>
          <cell r="AA57">
            <v>0</v>
          </cell>
        </row>
        <row r="58">
          <cell r="A58">
            <v>2023</v>
          </cell>
          <cell r="B58">
            <v>0</v>
          </cell>
          <cell r="C58">
            <v>0</v>
          </cell>
          <cell r="D58">
            <v>0</v>
          </cell>
          <cell r="E58">
            <v>7.0000000000000007E-2</v>
          </cell>
          <cell r="F58">
            <v>7.0000000000000007E-2</v>
          </cell>
          <cell r="G58">
            <v>1.341</v>
          </cell>
          <cell r="H58">
            <v>0</v>
          </cell>
          <cell r="I58">
            <v>0</v>
          </cell>
          <cell r="J58">
            <v>0.97</v>
          </cell>
          <cell r="K58">
            <v>35</v>
          </cell>
          <cell r="L58">
            <v>2</v>
          </cell>
          <cell r="M58">
            <v>0.8</v>
          </cell>
          <cell r="O58">
            <v>2023</v>
          </cell>
          <cell r="P58">
            <v>1</v>
          </cell>
          <cell r="Q58">
            <v>0</v>
          </cell>
          <cell r="R58">
            <v>0</v>
          </cell>
          <cell r="S58">
            <v>0</v>
          </cell>
          <cell r="T58">
            <v>0</v>
          </cell>
          <cell r="U58">
            <v>17.656499999999998</v>
          </cell>
          <cell r="V58">
            <v>0.24883000000000005</v>
          </cell>
          <cell r="W58">
            <v>62.207499999999996</v>
          </cell>
          <cell r="X58">
            <v>0</v>
          </cell>
          <cell r="Y58">
            <v>0</v>
          </cell>
          <cell r="Z58">
            <v>0</v>
          </cell>
          <cell r="AA58">
            <v>0</v>
          </cell>
        </row>
        <row r="59">
          <cell r="A59">
            <v>2024</v>
          </cell>
          <cell r="B59">
            <v>0</v>
          </cell>
          <cell r="C59">
            <v>0</v>
          </cell>
          <cell r="D59">
            <v>0</v>
          </cell>
          <cell r="E59">
            <v>7.0000000000000007E-2</v>
          </cell>
          <cell r="F59">
            <v>7.0000000000000007E-2</v>
          </cell>
          <cell r="G59">
            <v>1.341</v>
          </cell>
          <cell r="H59">
            <v>0</v>
          </cell>
          <cell r="I59">
            <v>0</v>
          </cell>
          <cell r="J59">
            <v>0.97</v>
          </cell>
          <cell r="K59">
            <v>35</v>
          </cell>
          <cell r="L59">
            <v>2</v>
          </cell>
          <cell r="M59">
            <v>0.8</v>
          </cell>
          <cell r="O59">
            <v>2024</v>
          </cell>
          <cell r="P59">
            <v>1</v>
          </cell>
          <cell r="Q59">
            <v>0</v>
          </cell>
          <cell r="R59">
            <v>0</v>
          </cell>
          <cell r="S59">
            <v>0</v>
          </cell>
          <cell r="T59">
            <v>0</v>
          </cell>
          <cell r="U59">
            <v>17.581999999999997</v>
          </cell>
          <cell r="V59">
            <v>0.24734000000000006</v>
          </cell>
          <cell r="W59">
            <v>61.834999999999994</v>
          </cell>
          <cell r="X59">
            <v>0</v>
          </cell>
          <cell r="Y59">
            <v>0</v>
          </cell>
          <cell r="Z59">
            <v>0</v>
          </cell>
          <cell r="AA59">
            <v>0</v>
          </cell>
        </row>
        <row r="60">
          <cell r="A60">
            <v>2025</v>
          </cell>
          <cell r="B60">
            <v>0</v>
          </cell>
          <cell r="C60">
            <v>0</v>
          </cell>
          <cell r="D60">
            <v>0</v>
          </cell>
          <cell r="E60">
            <v>7.0000000000000007E-2</v>
          </cell>
          <cell r="F60">
            <v>7.0000000000000007E-2</v>
          </cell>
          <cell r="G60">
            <v>1.341</v>
          </cell>
          <cell r="H60">
            <v>0</v>
          </cell>
          <cell r="I60">
            <v>0</v>
          </cell>
          <cell r="J60">
            <v>0.97</v>
          </cell>
          <cell r="K60">
            <v>35</v>
          </cell>
          <cell r="L60">
            <v>2</v>
          </cell>
          <cell r="M60">
            <v>0.8</v>
          </cell>
          <cell r="O60">
            <v>2025</v>
          </cell>
          <cell r="P60">
            <v>1</v>
          </cell>
          <cell r="Q60">
            <v>0</v>
          </cell>
          <cell r="R60">
            <v>0</v>
          </cell>
          <cell r="S60">
            <v>0</v>
          </cell>
          <cell r="T60">
            <v>0</v>
          </cell>
          <cell r="U60">
            <v>17.507499999999997</v>
          </cell>
          <cell r="V60">
            <v>0.24585000000000007</v>
          </cell>
          <cell r="W60">
            <v>61.462499999999991</v>
          </cell>
          <cell r="X60">
            <v>0</v>
          </cell>
          <cell r="Y60">
            <v>0</v>
          </cell>
          <cell r="Z60">
            <v>0</v>
          </cell>
          <cell r="AA60">
            <v>0</v>
          </cell>
        </row>
        <row r="61">
          <cell r="A61">
            <v>2026</v>
          </cell>
          <cell r="B61">
            <v>0</v>
          </cell>
          <cell r="C61">
            <v>0</v>
          </cell>
          <cell r="D61">
            <v>0</v>
          </cell>
          <cell r="E61">
            <v>7.0000000000000007E-2</v>
          </cell>
          <cell r="F61">
            <v>7.0000000000000007E-2</v>
          </cell>
          <cell r="G61">
            <v>1.341</v>
          </cell>
          <cell r="H61">
            <v>0</v>
          </cell>
          <cell r="I61">
            <v>0</v>
          </cell>
          <cell r="J61">
            <v>0.97</v>
          </cell>
          <cell r="K61">
            <v>35</v>
          </cell>
          <cell r="L61">
            <v>2</v>
          </cell>
          <cell r="M61">
            <v>0.8</v>
          </cell>
          <cell r="O61">
            <v>2026</v>
          </cell>
          <cell r="P61">
            <v>1</v>
          </cell>
          <cell r="Q61">
            <v>0</v>
          </cell>
          <cell r="R61">
            <v>0</v>
          </cell>
          <cell r="S61">
            <v>0</v>
          </cell>
          <cell r="T61">
            <v>0</v>
          </cell>
          <cell r="U61">
            <v>17.432999999999996</v>
          </cell>
          <cell r="V61">
            <v>0.24436000000000008</v>
          </cell>
          <cell r="W61">
            <v>61.089999999999989</v>
          </cell>
          <cell r="X61">
            <v>0</v>
          </cell>
          <cell r="Y61">
            <v>0</v>
          </cell>
          <cell r="Z61">
            <v>0</v>
          </cell>
          <cell r="AA61">
            <v>0</v>
          </cell>
        </row>
        <row r="62">
          <cell r="A62">
            <v>2027</v>
          </cell>
          <cell r="B62">
            <v>0</v>
          </cell>
          <cell r="C62">
            <v>0</v>
          </cell>
          <cell r="D62">
            <v>0</v>
          </cell>
          <cell r="E62">
            <v>7.0000000000000007E-2</v>
          </cell>
          <cell r="F62">
            <v>7.0000000000000007E-2</v>
          </cell>
          <cell r="G62">
            <v>1.341</v>
          </cell>
          <cell r="H62">
            <v>0</v>
          </cell>
          <cell r="I62">
            <v>0</v>
          </cell>
          <cell r="J62">
            <v>0.97</v>
          </cell>
          <cell r="K62">
            <v>35</v>
          </cell>
          <cell r="L62">
            <v>2</v>
          </cell>
          <cell r="M62">
            <v>0.8</v>
          </cell>
          <cell r="O62">
            <v>2027</v>
          </cell>
          <cell r="P62">
            <v>1</v>
          </cell>
          <cell r="Q62">
            <v>0</v>
          </cell>
          <cell r="R62">
            <v>0</v>
          </cell>
          <cell r="S62">
            <v>0</v>
          </cell>
          <cell r="T62">
            <v>0</v>
          </cell>
          <cell r="U62">
            <v>17.358499999999996</v>
          </cell>
          <cell r="V62">
            <v>0.24287000000000009</v>
          </cell>
          <cell r="W62">
            <v>60.717499999999987</v>
          </cell>
          <cell r="X62">
            <v>0</v>
          </cell>
          <cell r="Y62">
            <v>0</v>
          </cell>
          <cell r="Z62">
            <v>0</v>
          </cell>
          <cell r="AA62">
            <v>0</v>
          </cell>
        </row>
        <row r="63">
          <cell r="A63">
            <v>2028</v>
          </cell>
          <cell r="B63">
            <v>0</v>
          </cell>
          <cell r="C63">
            <v>0</v>
          </cell>
          <cell r="D63">
            <v>0</v>
          </cell>
          <cell r="E63">
            <v>7.0000000000000007E-2</v>
          </cell>
          <cell r="F63">
            <v>7.0000000000000007E-2</v>
          </cell>
          <cell r="G63">
            <v>1.341</v>
          </cell>
          <cell r="H63">
            <v>0</v>
          </cell>
          <cell r="I63">
            <v>0</v>
          </cell>
          <cell r="J63">
            <v>0.97</v>
          </cell>
          <cell r="K63">
            <v>35</v>
          </cell>
          <cell r="L63">
            <v>2</v>
          </cell>
          <cell r="M63">
            <v>0.8</v>
          </cell>
          <cell r="O63">
            <v>2028</v>
          </cell>
          <cell r="P63">
            <v>1</v>
          </cell>
          <cell r="Q63">
            <v>0</v>
          </cell>
          <cell r="R63">
            <v>0</v>
          </cell>
          <cell r="S63">
            <v>0</v>
          </cell>
          <cell r="T63">
            <v>0</v>
          </cell>
          <cell r="U63">
            <v>17.283999999999995</v>
          </cell>
          <cell r="V63">
            <v>0.24138000000000009</v>
          </cell>
          <cell r="W63">
            <v>60.344999999999985</v>
          </cell>
          <cell r="X63">
            <v>0</v>
          </cell>
          <cell r="Y63">
            <v>0</v>
          </cell>
          <cell r="Z63">
            <v>0</v>
          </cell>
          <cell r="AA63">
            <v>0</v>
          </cell>
        </row>
        <row r="64">
          <cell r="A64">
            <v>2029</v>
          </cell>
          <cell r="B64">
            <v>0</v>
          </cell>
          <cell r="C64">
            <v>0</v>
          </cell>
          <cell r="D64">
            <v>0</v>
          </cell>
          <cell r="E64">
            <v>7.0000000000000007E-2</v>
          </cell>
          <cell r="F64">
            <v>7.0000000000000007E-2</v>
          </cell>
          <cell r="G64">
            <v>1.341</v>
          </cell>
          <cell r="H64">
            <v>0</v>
          </cell>
          <cell r="I64">
            <v>0</v>
          </cell>
          <cell r="J64">
            <v>0.97</v>
          </cell>
          <cell r="K64">
            <v>35</v>
          </cell>
          <cell r="L64">
            <v>2</v>
          </cell>
          <cell r="M64">
            <v>0.8</v>
          </cell>
          <cell r="O64">
            <v>2029</v>
          </cell>
          <cell r="P64">
            <v>1</v>
          </cell>
          <cell r="Q64">
            <v>0</v>
          </cell>
          <cell r="R64">
            <v>0</v>
          </cell>
          <cell r="S64">
            <v>0</v>
          </cell>
          <cell r="T64">
            <v>0</v>
          </cell>
          <cell r="U64">
            <v>17.209499999999995</v>
          </cell>
          <cell r="V64">
            <v>0.2398900000000001</v>
          </cell>
          <cell r="W64">
            <v>59.972499999999982</v>
          </cell>
          <cell r="X64">
            <v>0</v>
          </cell>
          <cell r="Y64">
            <v>0</v>
          </cell>
          <cell r="Z64">
            <v>0</v>
          </cell>
          <cell r="AA64">
            <v>0</v>
          </cell>
        </row>
        <row r="65">
          <cell r="A65">
            <v>2030</v>
          </cell>
          <cell r="E65">
            <v>7.0000000000000007E-2</v>
          </cell>
          <cell r="F65">
            <v>7.0000000000000007E-2</v>
          </cell>
          <cell r="G65">
            <v>1.341</v>
          </cell>
          <cell r="H65">
            <v>0</v>
          </cell>
          <cell r="I65">
            <v>0</v>
          </cell>
          <cell r="J65">
            <v>0.97</v>
          </cell>
          <cell r="K65">
            <v>35</v>
          </cell>
          <cell r="L65">
            <v>2</v>
          </cell>
          <cell r="M65">
            <v>0.8</v>
          </cell>
          <cell r="O65">
            <v>2030</v>
          </cell>
          <cell r="P65">
            <v>1</v>
          </cell>
          <cell r="Q65">
            <v>0</v>
          </cell>
          <cell r="R65">
            <v>0</v>
          </cell>
          <cell r="S65">
            <v>0</v>
          </cell>
          <cell r="T65">
            <v>0</v>
          </cell>
          <cell r="U65">
            <v>17.134999999999998</v>
          </cell>
          <cell r="V65">
            <v>0.2384</v>
          </cell>
          <cell r="W65">
            <v>59.6</v>
          </cell>
          <cell r="X65">
            <v>0</v>
          </cell>
          <cell r="Y65">
            <v>0</v>
          </cell>
          <cell r="Z65">
            <v>0</v>
          </cell>
          <cell r="AA65">
            <v>0</v>
          </cell>
        </row>
        <row r="66">
          <cell r="A66">
            <v>2031</v>
          </cell>
          <cell r="B66">
            <v>0</v>
          </cell>
          <cell r="C66">
            <v>0</v>
          </cell>
          <cell r="D66">
            <v>0</v>
          </cell>
          <cell r="E66">
            <v>7.0000000000000007E-2</v>
          </cell>
          <cell r="F66">
            <v>7.0000000000000007E-2</v>
          </cell>
          <cell r="G66">
            <v>1.341</v>
          </cell>
          <cell r="H66">
            <v>0</v>
          </cell>
          <cell r="I66">
            <v>0</v>
          </cell>
          <cell r="J66">
            <v>0.97</v>
          </cell>
          <cell r="K66">
            <v>35</v>
          </cell>
          <cell r="L66">
            <v>2</v>
          </cell>
          <cell r="M66">
            <v>0.8</v>
          </cell>
          <cell r="O66">
            <v>2031</v>
          </cell>
          <cell r="P66">
            <v>1</v>
          </cell>
          <cell r="Q66">
            <v>0</v>
          </cell>
          <cell r="R66">
            <v>0</v>
          </cell>
          <cell r="S66">
            <v>0</v>
          </cell>
          <cell r="T66">
            <v>0</v>
          </cell>
          <cell r="U66">
            <v>17.134999999999998</v>
          </cell>
          <cell r="V66">
            <v>0.2384</v>
          </cell>
          <cell r="W66">
            <v>59.6</v>
          </cell>
          <cell r="X66">
            <v>0</v>
          </cell>
          <cell r="Y66">
            <v>0</v>
          </cell>
          <cell r="Z66">
            <v>0</v>
          </cell>
          <cell r="AA66">
            <v>0</v>
          </cell>
        </row>
        <row r="67">
          <cell r="A67">
            <v>2032</v>
          </cell>
          <cell r="B67">
            <v>0</v>
          </cell>
          <cell r="C67">
            <v>0</v>
          </cell>
          <cell r="D67">
            <v>0</v>
          </cell>
          <cell r="E67">
            <v>7.0000000000000007E-2</v>
          </cell>
          <cell r="F67">
            <v>7.0000000000000007E-2</v>
          </cell>
          <cell r="G67">
            <v>1.341</v>
          </cell>
          <cell r="H67">
            <v>0</v>
          </cell>
          <cell r="I67">
            <v>0</v>
          </cell>
          <cell r="J67">
            <v>0.97</v>
          </cell>
          <cell r="K67">
            <v>35</v>
          </cell>
          <cell r="L67">
            <v>2</v>
          </cell>
          <cell r="M67">
            <v>0.8</v>
          </cell>
          <cell r="O67">
            <v>2032</v>
          </cell>
          <cell r="P67">
            <v>1</v>
          </cell>
          <cell r="Q67">
            <v>0</v>
          </cell>
          <cell r="R67">
            <v>0</v>
          </cell>
          <cell r="S67">
            <v>0</v>
          </cell>
          <cell r="T67">
            <v>0</v>
          </cell>
          <cell r="U67">
            <v>17.134999999999998</v>
          </cell>
          <cell r="V67">
            <v>0.2384</v>
          </cell>
          <cell r="W67">
            <v>59.6</v>
          </cell>
          <cell r="X67">
            <v>0</v>
          </cell>
          <cell r="Y67">
            <v>0</v>
          </cell>
          <cell r="Z67">
            <v>0</v>
          </cell>
          <cell r="AA67">
            <v>0</v>
          </cell>
        </row>
        <row r="68">
          <cell r="A68">
            <v>2033</v>
          </cell>
          <cell r="B68">
            <v>0</v>
          </cell>
          <cell r="C68">
            <v>0</v>
          </cell>
          <cell r="D68">
            <v>0</v>
          </cell>
          <cell r="E68">
            <v>7.0000000000000007E-2</v>
          </cell>
          <cell r="F68">
            <v>7.0000000000000007E-2</v>
          </cell>
          <cell r="G68">
            <v>1.341</v>
          </cell>
          <cell r="H68">
            <v>0</v>
          </cell>
          <cell r="I68">
            <v>0</v>
          </cell>
          <cell r="J68">
            <v>0.97</v>
          </cell>
          <cell r="K68">
            <v>35</v>
          </cell>
          <cell r="L68">
            <v>2</v>
          </cell>
          <cell r="M68">
            <v>0.8</v>
          </cell>
          <cell r="O68">
            <v>2033</v>
          </cell>
          <cell r="P68">
            <v>1</v>
          </cell>
          <cell r="Q68">
            <v>0</v>
          </cell>
          <cell r="R68">
            <v>0</v>
          </cell>
          <cell r="S68">
            <v>0</v>
          </cell>
          <cell r="T68">
            <v>0</v>
          </cell>
          <cell r="U68">
            <v>17.134999999999998</v>
          </cell>
          <cell r="V68">
            <v>0.2384</v>
          </cell>
          <cell r="W68">
            <v>59.6</v>
          </cell>
          <cell r="X68">
            <v>0</v>
          </cell>
          <cell r="Y68">
            <v>0</v>
          </cell>
          <cell r="Z68">
            <v>0</v>
          </cell>
          <cell r="AA68">
            <v>0</v>
          </cell>
        </row>
        <row r="69">
          <cell r="A69">
            <v>2034</v>
          </cell>
          <cell r="B69">
            <v>0</v>
          </cell>
          <cell r="C69">
            <v>0</v>
          </cell>
          <cell r="D69">
            <v>0</v>
          </cell>
          <cell r="E69">
            <v>7.0000000000000007E-2</v>
          </cell>
          <cell r="F69">
            <v>7.0000000000000007E-2</v>
          </cell>
          <cell r="G69">
            <v>1.341</v>
          </cell>
          <cell r="H69">
            <v>0</v>
          </cell>
          <cell r="I69">
            <v>0</v>
          </cell>
          <cell r="J69">
            <v>0.97</v>
          </cell>
          <cell r="K69">
            <v>35</v>
          </cell>
          <cell r="L69">
            <v>2</v>
          </cell>
          <cell r="M69">
            <v>0.8</v>
          </cell>
          <cell r="O69">
            <v>2034</v>
          </cell>
          <cell r="P69">
            <v>1</v>
          </cell>
          <cell r="Q69">
            <v>0</v>
          </cell>
          <cell r="R69">
            <v>0</v>
          </cell>
          <cell r="S69">
            <v>0</v>
          </cell>
          <cell r="T69">
            <v>0</v>
          </cell>
          <cell r="U69">
            <v>17.134999999999998</v>
          </cell>
          <cell r="V69">
            <v>0.2384</v>
          </cell>
          <cell r="W69">
            <v>59.6</v>
          </cell>
          <cell r="X69">
            <v>0</v>
          </cell>
          <cell r="Y69">
            <v>0</v>
          </cell>
          <cell r="Z69">
            <v>0</v>
          </cell>
          <cell r="AA69">
            <v>0</v>
          </cell>
        </row>
        <row r="70">
          <cell r="A70">
            <v>2035</v>
          </cell>
          <cell r="B70">
            <v>0</v>
          </cell>
          <cell r="C70">
            <v>0</v>
          </cell>
          <cell r="D70">
            <v>0</v>
          </cell>
          <cell r="E70">
            <v>7.0000000000000007E-2</v>
          </cell>
          <cell r="F70">
            <v>7.0000000000000007E-2</v>
          </cell>
          <cell r="G70">
            <v>1.341</v>
          </cell>
          <cell r="H70">
            <v>0</v>
          </cell>
          <cell r="I70">
            <v>0</v>
          </cell>
          <cell r="J70">
            <v>0.97</v>
          </cell>
          <cell r="K70">
            <v>35</v>
          </cell>
          <cell r="L70">
            <v>2</v>
          </cell>
          <cell r="M70">
            <v>0.8</v>
          </cell>
          <cell r="O70">
            <v>2035</v>
          </cell>
          <cell r="P70">
            <v>1</v>
          </cell>
          <cell r="Q70">
            <v>0</v>
          </cell>
          <cell r="R70">
            <v>0</v>
          </cell>
          <cell r="S70">
            <v>0</v>
          </cell>
          <cell r="T70">
            <v>0</v>
          </cell>
          <cell r="U70">
            <v>17.134999999999998</v>
          </cell>
          <cell r="V70">
            <v>0.2384</v>
          </cell>
          <cell r="W70">
            <v>59.6</v>
          </cell>
          <cell r="X70">
            <v>0</v>
          </cell>
          <cell r="Y70">
            <v>0</v>
          </cell>
          <cell r="Z70">
            <v>0</v>
          </cell>
          <cell r="AA70">
            <v>0</v>
          </cell>
        </row>
        <row r="72">
          <cell r="A72" t="str">
            <v>NGCC_SmallBP</v>
          </cell>
          <cell r="B72" t="str">
            <v>Eff.</v>
          </cell>
          <cell r="C72" t="str">
            <v>Cb</v>
          </cell>
          <cell r="D72" t="str">
            <v>Cv</v>
          </cell>
          <cell r="E72" t="str">
            <v>POutage</v>
          </cell>
          <cell r="F72" t="str">
            <v>UPOutage</v>
          </cell>
          <cell r="G72" t="str">
            <v>Invest</v>
          </cell>
          <cell r="H72" t="str">
            <v>O&amp;Mfixed</v>
          </cell>
          <cell r="I72" t="str">
            <v>O&amp;Mvar</v>
          </cell>
          <cell r="J72" t="str">
            <v>Desulp</v>
          </cell>
          <cell r="K72" t="str">
            <v>NO2</v>
          </cell>
          <cell r="L72" t="str">
            <v>CH4</v>
          </cell>
          <cell r="M72" t="str">
            <v>N2O</v>
          </cell>
          <cell r="O72" t="str">
            <v>ElBoiler</v>
          </cell>
          <cell r="P72" t="str">
            <v>Eff.</v>
          </cell>
          <cell r="Q72" t="str">
            <v>Cb</v>
          </cell>
          <cell r="R72" t="str">
            <v>Cv</v>
          </cell>
          <cell r="S72" t="str">
            <v>POutage</v>
          </cell>
          <cell r="T72" t="str">
            <v>UPOutage</v>
          </cell>
          <cell r="U72" t="str">
            <v>Invest</v>
          </cell>
          <cell r="V72" t="str">
            <v>O&amp;Mfixed</v>
          </cell>
          <cell r="W72" t="str">
            <v>O&amp;Mvar</v>
          </cell>
          <cell r="X72" t="str">
            <v>Desulp</v>
          </cell>
          <cell r="Y72" t="str">
            <v>NO2</v>
          </cell>
          <cell r="Z72" t="str">
            <v>CH4</v>
          </cell>
          <cell r="AA72" t="str">
            <v>N2O</v>
          </cell>
        </row>
        <row r="73">
          <cell r="A73" t="str">
            <v>Investeringsår</v>
          </cell>
          <cell r="B73" t="str">
            <v>%</v>
          </cell>
          <cell r="C73" t="str">
            <v>p.u.</v>
          </cell>
          <cell r="D73" t="str">
            <v>p.u.</v>
          </cell>
          <cell r="E73" t="str">
            <v>%</v>
          </cell>
          <cell r="F73" t="str">
            <v>%</v>
          </cell>
          <cell r="G73" t="str">
            <v>Mkr./MW</v>
          </cell>
          <cell r="H73" t="str">
            <v>Mkr/MWy</v>
          </cell>
          <cell r="I73" t="str">
            <v>kr/MWh</v>
          </cell>
          <cell r="J73" t="str">
            <v>p.u</v>
          </cell>
          <cell r="K73" t="str">
            <v>g/GJ</v>
          </cell>
          <cell r="L73" t="str">
            <v>g/GJ</v>
          </cell>
          <cell r="M73" t="str">
            <v>g/GJ</v>
          </cell>
          <cell r="O73" t="str">
            <v>Investeringsår</v>
          </cell>
          <cell r="P73" t="str">
            <v>%</v>
          </cell>
          <cell r="Q73" t="str">
            <v>p.u.</v>
          </cell>
          <cell r="R73" t="str">
            <v>p.u.</v>
          </cell>
          <cell r="S73" t="str">
            <v>%</v>
          </cell>
          <cell r="T73" t="str">
            <v>%</v>
          </cell>
          <cell r="U73" t="str">
            <v>Mkr./MW</v>
          </cell>
          <cell r="V73" t="str">
            <v>Mkr/MWy</v>
          </cell>
          <cell r="W73" t="str">
            <v>kr/MWh</v>
          </cell>
          <cell r="X73" t="str">
            <v>p.u</v>
          </cell>
          <cell r="Y73" t="str">
            <v>g/GJ</v>
          </cell>
          <cell r="Z73" t="str">
            <v>g/GJ</v>
          </cell>
          <cell r="AA73" t="str">
            <v>g/GJ</v>
          </cell>
        </row>
        <row r="74">
          <cell r="A74">
            <v>2010</v>
          </cell>
          <cell r="B74">
            <v>0.45599999999999996</v>
          </cell>
          <cell r="C74">
            <v>1.28</v>
          </cell>
          <cell r="D74">
            <v>0</v>
          </cell>
          <cell r="E74">
            <v>0.05</v>
          </cell>
          <cell r="F74">
            <v>0.05</v>
          </cell>
          <cell r="G74">
            <v>10.057500000000001</v>
          </cell>
          <cell r="H74">
            <v>0</v>
          </cell>
          <cell r="I74">
            <v>18.625</v>
          </cell>
          <cell r="J74">
            <v>0</v>
          </cell>
          <cell r="K74">
            <v>48</v>
          </cell>
          <cell r="L74">
            <v>1.5</v>
          </cell>
          <cell r="M74">
            <v>1</v>
          </cell>
          <cell r="O74">
            <v>2010</v>
          </cell>
          <cell r="P74">
            <v>0.99</v>
          </cell>
          <cell r="Q74">
            <v>-1.0101010101010102</v>
          </cell>
          <cell r="R74">
            <v>0</v>
          </cell>
          <cell r="S74">
            <v>0.01</v>
          </cell>
          <cell r="T74">
            <v>0.01</v>
          </cell>
          <cell r="U74">
            <v>0.44700000000000001</v>
          </cell>
          <cell r="V74">
            <v>8.1949999999999992E-3</v>
          </cell>
          <cell r="W74">
            <v>250.72499999999999</v>
          </cell>
          <cell r="X74">
            <v>0</v>
          </cell>
          <cell r="Y74">
            <v>0</v>
          </cell>
          <cell r="Z74">
            <v>0</v>
          </cell>
          <cell r="AA74">
            <v>0</v>
          </cell>
        </row>
        <row r="75">
          <cell r="A75">
            <v>2011</v>
          </cell>
          <cell r="B75">
            <v>0.45599999999999996</v>
          </cell>
          <cell r="C75">
            <v>1.28</v>
          </cell>
          <cell r="D75">
            <v>0</v>
          </cell>
          <cell r="E75">
            <v>0.05</v>
          </cell>
          <cell r="F75">
            <v>0.05</v>
          </cell>
          <cell r="G75">
            <v>10.057500000000001</v>
          </cell>
          <cell r="H75">
            <v>0</v>
          </cell>
          <cell r="I75">
            <v>18.625</v>
          </cell>
          <cell r="J75">
            <v>0</v>
          </cell>
          <cell r="K75">
            <v>48</v>
          </cell>
          <cell r="L75">
            <v>1.5</v>
          </cell>
          <cell r="M75">
            <v>1</v>
          </cell>
          <cell r="O75">
            <v>2011</v>
          </cell>
          <cell r="P75">
            <v>0.99</v>
          </cell>
          <cell r="Q75">
            <v>-1.0101010101010102</v>
          </cell>
          <cell r="R75">
            <v>0</v>
          </cell>
          <cell r="S75">
            <v>0.01</v>
          </cell>
          <cell r="T75">
            <v>0.01</v>
          </cell>
          <cell r="U75">
            <v>0.44700000000000001</v>
          </cell>
          <cell r="V75">
            <v>8.1949999999999992E-3</v>
          </cell>
          <cell r="W75">
            <v>250.72499999999999</v>
          </cell>
          <cell r="X75">
            <v>0</v>
          </cell>
          <cell r="Y75">
            <v>0</v>
          </cell>
          <cell r="Z75">
            <v>0</v>
          </cell>
          <cell r="AA75">
            <v>0</v>
          </cell>
        </row>
        <row r="76">
          <cell r="A76">
            <v>2012</v>
          </cell>
          <cell r="B76">
            <v>0.45599999999999996</v>
          </cell>
          <cell r="C76">
            <v>1.28</v>
          </cell>
          <cell r="D76">
            <v>0</v>
          </cell>
          <cell r="E76">
            <v>0.05</v>
          </cell>
          <cell r="F76">
            <v>0.05</v>
          </cell>
          <cell r="G76">
            <v>10.057500000000001</v>
          </cell>
          <cell r="H76">
            <v>0</v>
          </cell>
          <cell r="I76">
            <v>18.625</v>
          </cell>
          <cell r="J76">
            <v>0</v>
          </cell>
          <cell r="K76">
            <v>48</v>
          </cell>
          <cell r="L76">
            <v>1.5</v>
          </cell>
          <cell r="M76">
            <v>1</v>
          </cell>
          <cell r="O76">
            <v>2012</v>
          </cell>
          <cell r="P76">
            <v>0.99</v>
          </cell>
          <cell r="Q76">
            <v>-1.0101010101010102</v>
          </cell>
          <cell r="R76">
            <v>0</v>
          </cell>
          <cell r="S76">
            <v>0.01</v>
          </cell>
          <cell r="T76">
            <v>0.01</v>
          </cell>
          <cell r="U76">
            <v>0.44700000000000001</v>
          </cell>
          <cell r="V76">
            <v>8.1949999999999992E-3</v>
          </cell>
          <cell r="W76">
            <v>250.72499999999999</v>
          </cell>
          <cell r="X76">
            <v>0</v>
          </cell>
          <cell r="Y76">
            <v>0</v>
          </cell>
          <cell r="Z76">
            <v>0</v>
          </cell>
          <cell r="AA76">
            <v>0</v>
          </cell>
        </row>
        <row r="77">
          <cell r="A77">
            <v>2013</v>
          </cell>
          <cell r="B77">
            <v>0.45599999999999996</v>
          </cell>
          <cell r="C77">
            <v>1.28</v>
          </cell>
          <cell r="D77">
            <v>0</v>
          </cell>
          <cell r="E77">
            <v>0.05</v>
          </cell>
          <cell r="F77">
            <v>0.05</v>
          </cell>
          <cell r="G77">
            <v>10.057500000000001</v>
          </cell>
          <cell r="H77">
            <v>0</v>
          </cell>
          <cell r="I77">
            <v>18.625</v>
          </cell>
          <cell r="J77">
            <v>0</v>
          </cell>
          <cell r="K77">
            <v>48</v>
          </cell>
          <cell r="L77">
            <v>1.5</v>
          </cell>
          <cell r="M77">
            <v>1</v>
          </cell>
          <cell r="O77">
            <v>2013</v>
          </cell>
          <cell r="P77">
            <v>0.99</v>
          </cell>
          <cell r="Q77">
            <v>-1.0101010101010102</v>
          </cell>
          <cell r="R77">
            <v>0</v>
          </cell>
          <cell r="S77">
            <v>0.01</v>
          </cell>
          <cell r="T77">
            <v>0.01</v>
          </cell>
          <cell r="U77">
            <v>0.44700000000000001</v>
          </cell>
          <cell r="V77">
            <v>8.1949999999999992E-3</v>
          </cell>
          <cell r="W77">
            <v>250.72499999999999</v>
          </cell>
          <cell r="X77">
            <v>0</v>
          </cell>
          <cell r="Y77">
            <v>0</v>
          </cell>
          <cell r="Z77">
            <v>0</v>
          </cell>
          <cell r="AA77">
            <v>0</v>
          </cell>
        </row>
        <row r="78">
          <cell r="A78">
            <v>2014</v>
          </cell>
          <cell r="B78">
            <v>0.45599999999999996</v>
          </cell>
          <cell r="C78">
            <v>1.28</v>
          </cell>
          <cell r="D78">
            <v>0</v>
          </cell>
          <cell r="E78">
            <v>0.05</v>
          </cell>
          <cell r="F78">
            <v>0.05</v>
          </cell>
          <cell r="G78">
            <v>10.057500000000001</v>
          </cell>
          <cell r="H78">
            <v>0</v>
          </cell>
          <cell r="I78">
            <v>18.625</v>
          </cell>
          <cell r="J78">
            <v>0</v>
          </cell>
          <cell r="K78">
            <v>48</v>
          </cell>
          <cell r="L78">
            <v>1.5</v>
          </cell>
          <cell r="M78">
            <v>1</v>
          </cell>
          <cell r="O78">
            <v>2014</v>
          </cell>
          <cell r="P78">
            <v>0.99</v>
          </cell>
          <cell r="Q78">
            <v>-1.0101010101010102</v>
          </cell>
          <cell r="R78">
            <v>0</v>
          </cell>
          <cell r="S78">
            <v>0.01</v>
          </cell>
          <cell r="T78">
            <v>0.01</v>
          </cell>
          <cell r="U78">
            <v>0.44700000000000001</v>
          </cell>
          <cell r="V78">
            <v>8.1949999999999992E-3</v>
          </cell>
          <cell r="W78">
            <v>250.72499999999999</v>
          </cell>
          <cell r="X78">
            <v>0</v>
          </cell>
          <cell r="Y78">
            <v>0</v>
          </cell>
          <cell r="Z78">
            <v>0</v>
          </cell>
          <cell r="AA78">
            <v>0</v>
          </cell>
        </row>
        <row r="79">
          <cell r="A79">
            <v>2015</v>
          </cell>
          <cell r="B79">
            <v>0.45599999999999996</v>
          </cell>
          <cell r="C79">
            <v>1.28</v>
          </cell>
          <cell r="D79">
            <v>0</v>
          </cell>
          <cell r="E79">
            <v>0.05</v>
          </cell>
          <cell r="F79">
            <v>0.05</v>
          </cell>
          <cell r="G79">
            <v>10.057500000000001</v>
          </cell>
          <cell r="H79">
            <v>0</v>
          </cell>
          <cell r="I79">
            <v>18.625</v>
          </cell>
          <cell r="J79">
            <v>0</v>
          </cell>
          <cell r="K79">
            <v>48</v>
          </cell>
          <cell r="L79">
            <v>1.5</v>
          </cell>
          <cell r="M79">
            <v>1</v>
          </cell>
          <cell r="O79">
            <v>2015</v>
          </cell>
          <cell r="P79">
            <v>0.99</v>
          </cell>
          <cell r="Q79">
            <v>-1.0101010101010102</v>
          </cell>
          <cell r="R79">
            <v>0</v>
          </cell>
          <cell r="S79">
            <v>0.01</v>
          </cell>
          <cell r="T79">
            <v>0.01</v>
          </cell>
          <cell r="U79">
            <v>0.44700000000000001</v>
          </cell>
          <cell r="V79">
            <v>8.1949999999999992E-3</v>
          </cell>
          <cell r="W79">
            <v>250.72499999999999</v>
          </cell>
          <cell r="X79">
            <v>0</v>
          </cell>
          <cell r="Y79">
            <v>0</v>
          </cell>
          <cell r="Z79">
            <v>0</v>
          </cell>
          <cell r="AA79">
            <v>0</v>
          </cell>
        </row>
        <row r="80">
          <cell r="A80">
            <v>2016</v>
          </cell>
          <cell r="B80">
            <v>0.46359999999999996</v>
          </cell>
          <cell r="C80">
            <v>1.2906666666666666</v>
          </cell>
          <cell r="D80">
            <v>0</v>
          </cell>
          <cell r="E80">
            <v>0.05</v>
          </cell>
          <cell r="F80">
            <v>0.05</v>
          </cell>
          <cell r="G80">
            <v>10.2065</v>
          </cell>
          <cell r="H80">
            <v>0</v>
          </cell>
          <cell r="I80">
            <v>18.625</v>
          </cell>
          <cell r="J80">
            <v>0</v>
          </cell>
          <cell r="K80">
            <v>47.6</v>
          </cell>
          <cell r="L80">
            <v>1.5</v>
          </cell>
          <cell r="M80">
            <v>1</v>
          </cell>
          <cell r="O80">
            <v>2016</v>
          </cell>
          <cell r="P80">
            <v>0.99</v>
          </cell>
          <cell r="Q80">
            <v>-1.0101010101010102</v>
          </cell>
          <cell r="R80">
            <v>0</v>
          </cell>
          <cell r="S80">
            <v>0.01</v>
          </cell>
          <cell r="T80">
            <v>0.01</v>
          </cell>
          <cell r="U80">
            <v>0.44700000000000001</v>
          </cell>
          <cell r="V80">
            <v>8.1949999999999992E-3</v>
          </cell>
          <cell r="W80">
            <v>250.72499999999999</v>
          </cell>
          <cell r="X80">
            <v>0</v>
          </cell>
          <cell r="Y80">
            <v>0</v>
          </cell>
          <cell r="Z80">
            <v>0</v>
          </cell>
          <cell r="AA80">
            <v>0</v>
          </cell>
        </row>
        <row r="81">
          <cell r="A81">
            <v>2017</v>
          </cell>
          <cell r="B81">
            <v>0.47119999999999995</v>
          </cell>
          <cell r="C81">
            <v>1.3013333333333332</v>
          </cell>
          <cell r="D81">
            <v>0</v>
          </cell>
          <cell r="E81">
            <v>0.05</v>
          </cell>
          <cell r="F81">
            <v>0.05</v>
          </cell>
          <cell r="G81">
            <v>10.355499999999999</v>
          </cell>
          <cell r="H81">
            <v>0</v>
          </cell>
          <cell r="I81">
            <v>18.625</v>
          </cell>
          <cell r="J81">
            <v>0</v>
          </cell>
          <cell r="K81">
            <v>47.2</v>
          </cell>
          <cell r="L81">
            <v>1.5</v>
          </cell>
          <cell r="M81">
            <v>1</v>
          </cell>
          <cell r="O81">
            <v>2017</v>
          </cell>
          <cell r="P81">
            <v>0.99</v>
          </cell>
          <cell r="Q81">
            <v>-1.0101010101010102</v>
          </cell>
          <cell r="R81">
            <v>0</v>
          </cell>
          <cell r="S81">
            <v>0.01</v>
          </cell>
          <cell r="T81">
            <v>0.01</v>
          </cell>
          <cell r="U81">
            <v>0.44700000000000001</v>
          </cell>
          <cell r="V81">
            <v>8.1949999999999992E-3</v>
          </cell>
          <cell r="W81">
            <v>250.72499999999999</v>
          </cell>
          <cell r="X81">
            <v>0</v>
          </cell>
          <cell r="Y81">
            <v>0</v>
          </cell>
          <cell r="Z81">
            <v>0</v>
          </cell>
          <cell r="AA81">
            <v>0</v>
          </cell>
        </row>
        <row r="82">
          <cell r="A82">
            <v>2018</v>
          </cell>
          <cell r="B82">
            <v>0.47879999999999995</v>
          </cell>
          <cell r="C82">
            <v>1.3119999999999998</v>
          </cell>
          <cell r="D82">
            <v>0</v>
          </cell>
          <cell r="E82">
            <v>0.05</v>
          </cell>
          <cell r="F82">
            <v>0.05</v>
          </cell>
          <cell r="G82">
            <v>10.504499999999998</v>
          </cell>
          <cell r="H82">
            <v>0</v>
          </cell>
          <cell r="I82">
            <v>18.625</v>
          </cell>
          <cell r="J82">
            <v>0</v>
          </cell>
          <cell r="K82">
            <v>46.800000000000004</v>
          </cell>
          <cell r="L82">
            <v>1.5</v>
          </cell>
          <cell r="M82">
            <v>1</v>
          </cell>
          <cell r="O82">
            <v>2018</v>
          </cell>
          <cell r="P82">
            <v>0.99</v>
          </cell>
          <cell r="Q82">
            <v>-1.0101010101010102</v>
          </cell>
          <cell r="R82">
            <v>0</v>
          </cell>
          <cell r="S82">
            <v>0.01</v>
          </cell>
          <cell r="T82">
            <v>0.01</v>
          </cell>
          <cell r="U82">
            <v>0.44700000000000001</v>
          </cell>
          <cell r="V82">
            <v>8.1949999999999992E-3</v>
          </cell>
          <cell r="W82">
            <v>250.72499999999999</v>
          </cell>
          <cell r="X82">
            <v>0</v>
          </cell>
          <cell r="Y82">
            <v>0</v>
          </cell>
          <cell r="Z82">
            <v>0</v>
          </cell>
          <cell r="AA82">
            <v>0</v>
          </cell>
        </row>
        <row r="83">
          <cell r="A83">
            <v>2019</v>
          </cell>
          <cell r="B83">
            <v>0.48639999999999994</v>
          </cell>
          <cell r="C83">
            <v>1.3226666666666664</v>
          </cell>
          <cell r="D83">
            <v>0</v>
          </cell>
          <cell r="E83">
            <v>0.05</v>
          </cell>
          <cell r="F83">
            <v>0.05</v>
          </cell>
          <cell r="G83">
            <v>10.653499999999998</v>
          </cell>
          <cell r="H83">
            <v>0</v>
          </cell>
          <cell r="I83">
            <v>18.625</v>
          </cell>
          <cell r="J83">
            <v>0</v>
          </cell>
          <cell r="K83">
            <v>46.400000000000006</v>
          </cell>
          <cell r="L83">
            <v>1.5</v>
          </cell>
          <cell r="M83">
            <v>1</v>
          </cell>
          <cell r="O83">
            <v>2019</v>
          </cell>
          <cell r="P83">
            <v>0.99</v>
          </cell>
          <cell r="Q83">
            <v>-1.0101010101010102</v>
          </cell>
          <cell r="R83">
            <v>0</v>
          </cell>
          <cell r="S83">
            <v>0.01</v>
          </cell>
          <cell r="T83">
            <v>0.01</v>
          </cell>
          <cell r="U83">
            <v>0.44700000000000001</v>
          </cell>
          <cell r="V83">
            <v>8.1949999999999992E-3</v>
          </cell>
          <cell r="W83">
            <v>250.72499999999999</v>
          </cell>
          <cell r="X83">
            <v>0</v>
          </cell>
          <cell r="Y83">
            <v>0</v>
          </cell>
          <cell r="Z83">
            <v>0</v>
          </cell>
          <cell r="AA83">
            <v>0</v>
          </cell>
        </row>
        <row r="84">
          <cell r="A84">
            <v>2020</v>
          </cell>
          <cell r="B84">
            <v>0.49399999999999999</v>
          </cell>
          <cell r="C84">
            <v>1.3333333333333333</v>
          </cell>
          <cell r="D84">
            <v>0</v>
          </cell>
          <cell r="E84">
            <v>0.05</v>
          </cell>
          <cell r="F84">
            <v>0.05</v>
          </cell>
          <cell r="G84">
            <v>10.8025</v>
          </cell>
          <cell r="H84">
            <v>0</v>
          </cell>
          <cell r="I84">
            <v>18.625</v>
          </cell>
          <cell r="J84">
            <v>0</v>
          </cell>
          <cell r="K84">
            <v>46</v>
          </cell>
          <cell r="L84">
            <v>1.5</v>
          </cell>
          <cell r="M84">
            <v>1</v>
          </cell>
          <cell r="O84">
            <v>2020</v>
          </cell>
          <cell r="P84">
            <v>0.99</v>
          </cell>
          <cell r="Q84">
            <v>-1.0101010101010102</v>
          </cell>
          <cell r="R84">
            <v>0</v>
          </cell>
          <cell r="S84">
            <v>0.01</v>
          </cell>
          <cell r="T84">
            <v>0.01</v>
          </cell>
          <cell r="U84">
            <v>0.44700000000000001</v>
          </cell>
          <cell r="V84">
            <v>8.1949999999999992E-3</v>
          </cell>
          <cell r="W84">
            <v>250.72499999999999</v>
          </cell>
          <cell r="X84">
            <v>0</v>
          </cell>
          <cell r="Y84">
            <v>0</v>
          </cell>
          <cell r="Z84">
            <v>0</v>
          </cell>
          <cell r="AA84">
            <v>0</v>
          </cell>
        </row>
        <row r="85">
          <cell r="A85">
            <v>2021</v>
          </cell>
          <cell r="B85">
            <v>0.49399999999999999</v>
          </cell>
          <cell r="C85">
            <v>1.3333333333333333</v>
          </cell>
          <cell r="D85">
            <v>0</v>
          </cell>
          <cell r="E85">
            <v>0.05</v>
          </cell>
          <cell r="F85">
            <v>0.05</v>
          </cell>
          <cell r="G85">
            <v>10.8025</v>
          </cell>
          <cell r="H85">
            <v>0</v>
          </cell>
          <cell r="I85">
            <v>18.625</v>
          </cell>
          <cell r="J85">
            <v>0</v>
          </cell>
          <cell r="K85">
            <v>45.6</v>
          </cell>
          <cell r="L85">
            <v>1.5</v>
          </cell>
          <cell r="M85">
            <v>1</v>
          </cell>
          <cell r="O85">
            <v>2021</v>
          </cell>
          <cell r="P85">
            <v>0.99</v>
          </cell>
          <cell r="Q85">
            <v>-1.0101010101010102</v>
          </cell>
          <cell r="R85">
            <v>0</v>
          </cell>
          <cell r="S85">
            <v>0.01</v>
          </cell>
          <cell r="T85">
            <v>0.01</v>
          </cell>
          <cell r="U85">
            <v>0.44700000000000001</v>
          </cell>
          <cell r="V85">
            <v>8.1949999999999992E-3</v>
          </cell>
          <cell r="W85">
            <v>250.72499999999999</v>
          </cell>
          <cell r="X85">
            <v>0</v>
          </cell>
          <cell r="Y85">
            <v>0</v>
          </cell>
          <cell r="Z85">
            <v>0</v>
          </cell>
          <cell r="AA85">
            <v>0</v>
          </cell>
        </row>
        <row r="86">
          <cell r="A86">
            <v>2022</v>
          </cell>
          <cell r="B86">
            <v>0.49399999999999999</v>
          </cell>
          <cell r="C86">
            <v>1.3333333333333333</v>
          </cell>
          <cell r="D86">
            <v>0</v>
          </cell>
          <cell r="E86">
            <v>0.05</v>
          </cell>
          <cell r="F86">
            <v>0.05</v>
          </cell>
          <cell r="G86">
            <v>10.8025</v>
          </cell>
          <cell r="H86">
            <v>0</v>
          </cell>
          <cell r="I86">
            <v>18.625</v>
          </cell>
          <cell r="J86">
            <v>0</v>
          </cell>
          <cell r="K86">
            <v>45.2</v>
          </cell>
          <cell r="L86">
            <v>1.5</v>
          </cell>
          <cell r="M86">
            <v>1</v>
          </cell>
          <cell r="O86">
            <v>2022</v>
          </cell>
          <cell r="P86">
            <v>0.99</v>
          </cell>
          <cell r="Q86">
            <v>-1.0101010101010102</v>
          </cell>
          <cell r="R86">
            <v>0</v>
          </cell>
          <cell r="S86">
            <v>0.01</v>
          </cell>
          <cell r="T86">
            <v>0.01</v>
          </cell>
          <cell r="U86">
            <v>0.44700000000000001</v>
          </cell>
          <cell r="V86">
            <v>8.1949999999999992E-3</v>
          </cell>
          <cell r="W86">
            <v>250.72499999999999</v>
          </cell>
          <cell r="X86">
            <v>0</v>
          </cell>
          <cell r="Y86">
            <v>0</v>
          </cell>
          <cell r="Z86">
            <v>0</v>
          </cell>
          <cell r="AA86">
            <v>0</v>
          </cell>
        </row>
        <row r="87">
          <cell r="A87">
            <v>2023</v>
          </cell>
          <cell r="B87">
            <v>0.49399999999999999</v>
          </cell>
          <cell r="C87">
            <v>1.3333333333333333</v>
          </cell>
          <cell r="D87">
            <v>0</v>
          </cell>
          <cell r="E87">
            <v>0.05</v>
          </cell>
          <cell r="F87">
            <v>0.05</v>
          </cell>
          <cell r="G87">
            <v>10.8025</v>
          </cell>
          <cell r="H87">
            <v>0</v>
          </cell>
          <cell r="I87">
            <v>18.625</v>
          </cell>
          <cell r="J87">
            <v>0</v>
          </cell>
          <cell r="K87">
            <v>44.800000000000004</v>
          </cell>
          <cell r="L87">
            <v>1.5</v>
          </cell>
          <cell r="M87">
            <v>1</v>
          </cell>
          <cell r="O87">
            <v>2023</v>
          </cell>
          <cell r="P87">
            <v>0.99</v>
          </cell>
          <cell r="Q87">
            <v>-1.0101010101010102</v>
          </cell>
          <cell r="R87">
            <v>0</v>
          </cell>
          <cell r="S87">
            <v>0.01</v>
          </cell>
          <cell r="T87">
            <v>0.01</v>
          </cell>
          <cell r="U87">
            <v>0.44700000000000001</v>
          </cell>
          <cell r="V87">
            <v>8.1949999999999992E-3</v>
          </cell>
          <cell r="W87">
            <v>250.72499999999999</v>
          </cell>
          <cell r="X87">
            <v>0</v>
          </cell>
          <cell r="Y87">
            <v>0</v>
          </cell>
          <cell r="Z87">
            <v>0</v>
          </cell>
          <cell r="AA87">
            <v>0</v>
          </cell>
        </row>
        <row r="88">
          <cell r="A88">
            <v>2024</v>
          </cell>
          <cell r="B88">
            <v>0.49399999999999999</v>
          </cell>
          <cell r="C88">
            <v>1.3333333333333333</v>
          </cell>
          <cell r="D88">
            <v>0</v>
          </cell>
          <cell r="E88">
            <v>0.05</v>
          </cell>
          <cell r="F88">
            <v>0.05</v>
          </cell>
          <cell r="G88">
            <v>10.8025</v>
          </cell>
          <cell r="H88">
            <v>0</v>
          </cell>
          <cell r="I88">
            <v>18.625</v>
          </cell>
          <cell r="J88">
            <v>0</v>
          </cell>
          <cell r="K88">
            <v>44.400000000000006</v>
          </cell>
          <cell r="L88">
            <v>1.5</v>
          </cell>
          <cell r="M88">
            <v>1</v>
          </cell>
          <cell r="O88">
            <v>2024</v>
          </cell>
          <cell r="P88">
            <v>0.99</v>
          </cell>
          <cell r="Q88">
            <v>-1.0101010101010102</v>
          </cell>
          <cell r="R88">
            <v>0</v>
          </cell>
          <cell r="S88">
            <v>0.01</v>
          </cell>
          <cell r="T88">
            <v>0.01</v>
          </cell>
          <cell r="U88">
            <v>0.44700000000000001</v>
          </cell>
          <cell r="V88">
            <v>8.1949999999999992E-3</v>
          </cell>
          <cell r="W88">
            <v>250.72499999999999</v>
          </cell>
          <cell r="X88">
            <v>0</v>
          </cell>
          <cell r="Y88">
            <v>0</v>
          </cell>
          <cell r="Z88">
            <v>0</v>
          </cell>
          <cell r="AA88">
            <v>0</v>
          </cell>
        </row>
        <row r="89">
          <cell r="A89">
            <v>2025</v>
          </cell>
          <cell r="B89">
            <v>0.49399999999999999</v>
          </cell>
          <cell r="C89">
            <v>1.3333333333333333</v>
          </cell>
          <cell r="D89">
            <v>0</v>
          </cell>
          <cell r="E89">
            <v>0.05</v>
          </cell>
          <cell r="F89">
            <v>0.05</v>
          </cell>
          <cell r="G89">
            <v>10.8025</v>
          </cell>
          <cell r="H89">
            <v>0</v>
          </cell>
          <cell r="I89">
            <v>18.625</v>
          </cell>
          <cell r="J89">
            <v>0</v>
          </cell>
          <cell r="K89">
            <v>44.000000000000007</v>
          </cell>
          <cell r="L89">
            <v>1.5</v>
          </cell>
          <cell r="M89">
            <v>1</v>
          </cell>
          <cell r="O89">
            <v>2025</v>
          </cell>
          <cell r="P89">
            <v>0.99</v>
          </cell>
          <cell r="Q89">
            <v>-1.0101010101010102</v>
          </cell>
          <cell r="R89">
            <v>0</v>
          </cell>
          <cell r="S89">
            <v>0.01</v>
          </cell>
          <cell r="T89">
            <v>0.01</v>
          </cell>
          <cell r="U89">
            <v>0.44700000000000001</v>
          </cell>
          <cell r="V89">
            <v>8.1949999999999992E-3</v>
          </cell>
          <cell r="W89">
            <v>250.72499999999999</v>
          </cell>
          <cell r="X89">
            <v>0</v>
          </cell>
          <cell r="Y89">
            <v>0</v>
          </cell>
          <cell r="Z89">
            <v>0</v>
          </cell>
          <cell r="AA89">
            <v>0</v>
          </cell>
        </row>
        <row r="90">
          <cell r="A90">
            <v>2026</v>
          </cell>
          <cell r="B90">
            <v>0.49399999999999999</v>
          </cell>
          <cell r="C90">
            <v>1.3333333333333333</v>
          </cell>
          <cell r="D90">
            <v>0</v>
          </cell>
          <cell r="E90">
            <v>0.05</v>
          </cell>
          <cell r="F90">
            <v>0.05</v>
          </cell>
          <cell r="G90">
            <v>10.8025</v>
          </cell>
          <cell r="H90">
            <v>0</v>
          </cell>
          <cell r="I90">
            <v>18.625</v>
          </cell>
          <cell r="J90">
            <v>0</v>
          </cell>
          <cell r="K90">
            <v>43.600000000000009</v>
          </cell>
          <cell r="L90">
            <v>1.5</v>
          </cell>
          <cell r="M90">
            <v>1</v>
          </cell>
          <cell r="O90">
            <v>2026</v>
          </cell>
          <cell r="P90">
            <v>0.99</v>
          </cell>
          <cell r="Q90">
            <v>-1.0101010101010102</v>
          </cell>
          <cell r="R90">
            <v>0</v>
          </cell>
          <cell r="S90">
            <v>0.01</v>
          </cell>
          <cell r="T90">
            <v>0.01</v>
          </cell>
          <cell r="U90">
            <v>0.44700000000000001</v>
          </cell>
          <cell r="V90">
            <v>8.1949999999999992E-3</v>
          </cell>
          <cell r="W90">
            <v>250.72499999999999</v>
          </cell>
          <cell r="X90">
            <v>0</v>
          </cell>
          <cell r="Y90">
            <v>0</v>
          </cell>
          <cell r="Z90">
            <v>0</v>
          </cell>
          <cell r="AA90">
            <v>0</v>
          </cell>
        </row>
        <row r="91">
          <cell r="A91">
            <v>2027</v>
          </cell>
          <cell r="B91">
            <v>0.49399999999999999</v>
          </cell>
          <cell r="C91">
            <v>1.3333333333333333</v>
          </cell>
          <cell r="D91">
            <v>0</v>
          </cell>
          <cell r="E91">
            <v>0.05</v>
          </cell>
          <cell r="F91">
            <v>0.05</v>
          </cell>
          <cell r="G91">
            <v>10.8025</v>
          </cell>
          <cell r="H91">
            <v>0</v>
          </cell>
          <cell r="I91">
            <v>18.625</v>
          </cell>
          <cell r="J91">
            <v>0</v>
          </cell>
          <cell r="K91">
            <v>43.20000000000001</v>
          </cell>
          <cell r="L91">
            <v>1.5</v>
          </cell>
          <cell r="M91">
            <v>1</v>
          </cell>
          <cell r="O91">
            <v>2027</v>
          </cell>
          <cell r="P91">
            <v>0.99</v>
          </cell>
          <cell r="Q91">
            <v>-1.0101010101010102</v>
          </cell>
          <cell r="R91">
            <v>0</v>
          </cell>
          <cell r="S91">
            <v>0.01</v>
          </cell>
          <cell r="T91">
            <v>0.01</v>
          </cell>
          <cell r="U91">
            <v>0.44700000000000001</v>
          </cell>
          <cell r="V91">
            <v>8.1949999999999992E-3</v>
          </cell>
          <cell r="W91">
            <v>250.72499999999999</v>
          </cell>
          <cell r="X91">
            <v>0</v>
          </cell>
          <cell r="Y91">
            <v>0</v>
          </cell>
          <cell r="Z91">
            <v>0</v>
          </cell>
          <cell r="AA91">
            <v>0</v>
          </cell>
        </row>
        <row r="92">
          <cell r="A92">
            <v>2028</v>
          </cell>
          <cell r="B92">
            <v>0.49399999999999999</v>
          </cell>
          <cell r="C92">
            <v>1.3333333333333333</v>
          </cell>
          <cell r="D92">
            <v>0</v>
          </cell>
          <cell r="E92">
            <v>0.05</v>
          </cell>
          <cell r="F92">
            <v>0.05</v>
          </cell>
          <cell r="G92">
            <v>10.8025</v>
          </cell>
          <cell r="H92">
            <v>0</v>
          </cell>
          <cell r="I92">
            <v>18.625</v>
          </cell>
          <cell r="J92">
            <v>0</v>
          </cell>
          <cell r="K92">
            <v>42.800000000000011</v>
          </cell>
          <cell r="L92">
            <v>1.5</v>
          </cell>
          <cell r="M92">
            <v>1</v>
          </cell>
          <cell r="O92">
            <v>2028</v>
          </cell>
          <cell r="P92">
            <v>0.99</v>
          </cell>
          <cell r="Q92">
            <v>-1.0101010101010102</v>
          </cell>
          <cell r="R92">
            <v>0</v>
          </cell>
          <cell r="S92">
            <v>0.01</v>
          </cell>
          <cell r="T92">
            <v>0.01</v>
          </cell>
          <cell r="U92">
            <v>0.44700000000000001</v>
          </cell>
          <cell r="V92">
            <v>8.1949999999999992E-3</v>
          </cell>
          <cell r="W92">
            <v>250.72499999999999</v>
          </cell>
          <cell r="X92">
            <v>0</v>
          </cell>
          <cell r="Y92">
            <v>0</v>
          </cell>
          <cell r="Z92">
            <v>0</v>
          </cell>
          <cell r="AA92">
            <v>0</v>
          </cell>
        </row>
        <row r="93">
          <cell r="A93">
            <v>2029</v>
          </cell>
          <cell r="B93">
            <v>0.49399999999999999</v>
          </cell>
          <cell r="C93">
            <v>1.3333333333333333</v>
          </cell>
          <cell r="D93">
            <v>0</v>
          </cell>
          <cell r="E93">
            <v>0.05</v>
          </cell>
          <cell r="F93">
            <v>0.05</v>
          </cell>
          <cell r="G93">
            <v>10.8025</v>
          </cell>
          <cell r="H93">
            <v>0</v>
          </cell>
          <cell r="I93">
            <v>18.625</v>
          </cell>
          <cell r="J93">
            <v>0</v>
          </cell>
          <cell r="K93">
            <v>42.400000000000013</v>
          </cell>
          <cell r="L93">
            <v>1.5</v>
          </cell>
          <cell r="M93">
            <v>1</v>
          </cell>
          <cell r="O93">
            <v>2029</v>
          </cell>
          <cell r="P93">
            <v>0.99</v>
          </cell>
          <cell r="Q93">
            <v>-1.0101010101010102</v>
          </cell>
          <cell r="R93">
            <v>0</v>
          </cell>
          <cell r="S93">
            <v>0.01</v>
          </cell>
          <cell r="T93">
            <v>0.01</v>
          </cell>
          <cell r="U93">
            <v>0.44700000000000001</v>
          </cell>
          <cell r="V93">
            <v>8.1949999999999992E-3</v>
          </cell>
          <cell r="W93">
            <v>250.72499999999999</v>
          </cell>
          <cell r="X93">
            <v>0</v>
          </cell>
          <cell r="Y93">
            <v>0</v>
          </cell>
          <cell r="Z93">
            <v>0</v>
          </cell>
          <cell r="AA93">
            <v>0</v>
          </cell>
        </row>
        <row r="94">
          <cell r="A94">
            <v>2030</v>
          </cell>
          <cell r="B94">
            <v>0.49399999999999999</v>
          </cell>
          <cell r="C94">
            <v>1.3333333333333333</v>
          </cell>
          <cell r="D94">
            <v>0</v>
          </cell>
          <cell r="E94">
            <v>0.05</v>
          </cell>
          <cell r="F94">
            <v>0.05</v>
          </cell>
          <cell r="G94">
            <v>10.8025</v>
          </cell>
          <cell r="H94">
            <v>0</v>
          </cell>
          <cell r="I94">
            <v>18.625</v>
          </cell>
          <cell r="J94">
            <v>0</v>
          </cell>
          <cell r="K94">
            <v>42</v>
          </cell>
          <cell r="L94">
            <v>1.5</v>
          </cell>
          <cell r="M94">
            <v>1</v>
          </cell>
          <cell r="O94">
            <v>2030</v>
          </cell>
          <cell r="P94">
            <v>0.99</v>
          </cell>
          <cell r="Q94">
            <v>-1.0101010101010102</v>
          </cell>
          <cell r="R94">
            <v>0</v>
          </cell>
          <cell r="S94">
            <v>0.01</v>
          </cell>
          <cell r="T94">
            <v>0.01</v>
          </cell>
          <cell r="U94">
            <v>0.44700000000000001</v>
          </cell>
          <cell r="V94">
            <v>8.1949999999999992E-3</v>
          </cell>
          <cell r="W94">
            <v>250.72499999999999</v>
          </cell>
          <cell r="X94">
            <v>0</v>
          </cell>
          <cell r="Y94">
            <v>0</v>
          </cell>
          <cell r="Z94">
            <v>0</v>
          </cell>
          <cell r="AA94">
            <v>0</v>
          </cell>
        </row>
        <row r="95">
          <cell r="A95">
            <v>2031</v>
          </cell>
          <cell r="B95">
            <v>0.49399999999999999</v>
          </cell>
          <cell r="C95">
            <v>1.3333333333333333</v>
          </cell>
          <cell r="D95">
            <v>0</v>
          </cell>
          <cell r="E95">
            <v>0.05</v>
          </cell>
          <cell r="F95">
            <v>0.05</v>
          </cell>
          <cell r="G95">
            <v>10.8025</v>
          </cell>
          <cell r="H95">
            <v>0</v>
          </cell>
          <cell r="I95">
            <v>18.625</v>
          </cell>
          <cell r="J95">
            <v>0</v>
          </cell>
          <cell r="K95">
            <v>42</v>
          </cell>
          <cell r="L95">
            <v>1.5</v>
          </cell>
          <cell r="M95">
            <v>1</v>
          </cell>
          <cell r="O95">
            <v>2031</v>
          </cell>
          <cell r="P95">
            <v>0.99</v>
          </cell>
          <cell r="Q95">
            <v>-1.0101010101010102</v>
          </cell>
          <cell r="R95">
            <v>0</v>
          </cell>
          <cell r="S95">
            <v>0.01</v>
          </cell>
          <cell r="T95">
            <v>0.01</v>
          </cell>
          <cell r="U95">
            <v>0.44700000000000001</v>
          </cell>
          <cell r="V95">
            <v>8.1949999999999992E-3</v>
          </cell>
          <cell r="W95">
            <v>250.72499999999999</v>
          </cell>
          <cell r="X95">
            <v>0</v>
          </cell>
          <cell r="Y95">
            <v>0</v>
          </cell>
          <cell r="Z95">
            <v>0</v>
          </cell>
          <cell r="AA95">
            <v>0</v>
          </cell>
        </row>
        <row r="96">
          <cell r="A96">
            <v>2032</v>
          </cell>
          <cell r="B96">
            <v>0.49399999999999999</v>
          </cell>
          <cell r="C96">
            <v>1.3333333333333333</v>
          </cell>
          <cell r="D96">
            <v>0</v>
          </cell>
          <cell r="E96">
            <v>0.05</v>
          </cell>
          <cell r="F96">
            <v>0.05</v>
          </cell>
          <cell r="G96">
            <v>10.8025</v>
          </cell>
          <cell r="H96">
            <v>0</v>
          </cell>
          <cell r="I96">
            <v>18.625</v>
          </cell>
          <cell r="J96">
            <v>0</v>
          </cell>
          <cell r="K96">
            <v>42</v>
          </cell>
          <cell r="L96">
            <v>1.5</v>
          </cell>
          <cell r="M96">
            <v>1</v>
          </cell>
          <cell r="O96">
            <v>2032</v>
          </cell>
          <cell r="P96">
            <v>0.99</v>
          </cell>
          <cell r="Q96">
            <v>-1.0101010101010102</v>
          </cell>
          <cell r="R96">
            <v>0</v>
          </cell>
          <cell r="S96">
            <v>0.01</v>
          </cell>
          <cell r="T96">
            <v>0.01</v>
          </cell>
          <cell r="U96">
            <v>0.44700000000000001</v>
          </cell>
          <cell r="V96">
            <v>8.1949999999999992E-3</v>
          </cell>
          <cell r="W96">
            <v>250.72499999999999</v>
          </cell>
          <cell r="X96">
            <v>0</v>
          </cell>
          <cell r="Y96">
            <v>0</v>
          </cell>
          <cell r="Z96">
            <v>0</v>
          </cell>
          <cell r="AA96">
            <v>0</v>
          </cell>
        </row>
        <row r="97">
          <cell r="A97">
            <v>2033</v>
          </cell>
          <cell r="B97">
            <v>0.49399999999999999</v>
          </cell>
          <cell r="C97">
            <v>1.3333333333333333</v>
          </cell>
          <cell r="D97">
            <v>0</v>
          </cell>
          <cell r="E97">
            <v>0.05</v>
          </cell>
          <cell r="F97">
            <v>0.05</v>
          </cell>
          <cell r="G97">
            <v>10.8025</v>
          </cell>
          <cell r="H97">
            <v>0</v>
          </cell>
          <cell r="I97">
            <v>18.625</v>
          </cell>
          <cell r="J97">
            <v>0</v>
          </cell>
          <cell r="K97">
            <v>42</v>
          </cell>
          <cell r="L97">
            <v>1.5</v>
          </cell>
          <cell r="M97">
            <v>1</v>
          </cell>
          <cell r="O97">
            <v>2033</v>
          </cell>
          <cell r="P97">
            <v>0.99</v>
          </cell>
          <cell r="Q97">
            <v>-1.0101010101010102</v>
          </cell>
          <cell r="R97">
            <v>0</v>
          </cell>
          <cell r="S97">
            <v>0.01</v>
          </cell>
          <cell r="T97">
            <v>0.01</v>
          </cell>
          <cell r="U97">
            <v>0.44700000000000001</v>
          </cell>
          <cell r="V97">
            <v>8.1949999999999992E-3</v>
          </cell>
          <cell r="W97">
            <v>250.72499999999999</v>
          </cell>
          <cell r="X97">
            <v>0</v>
          </cell>
          <cell r="Y97">
            <v>0</v>
          </cell>
          <cell r="Z97">
            <v>0</v>
          </cell>
          <cell r="AA97">
            <v>0</v>
          </cell>
        </row>
        <row r="98">
          <cell r="A98">
            <v>2034</v>
          </cell>
          <cell r="B98">
            <v>0.49399999999999999</v>
          </cell>
          <cell r="C98">
            <v>1.3333333333333333</v>
          </cell>
          <cell r="D98">
            <v>0</v>
          </cell>
          <cell r="E98">
            <v>0.05</v>
          </cell>
          <cell r="F98">
            <v>0.05</v>
          </cell>
          <cell r="G98">
            <v>10.8025</v>
          </cell>
          <cell r="H98">
            <v>0</v>
          </cell>
          <cell r="I98">
            <v>18.625</v>
          </cell>
          <cell r="J98">
            <v>0</v>
          </cell>
          <cell r="K98">
            <v>42</v>
          </cell>
          <cell r="L98">
            <v>1.5</v>
          </cell>
          <cell r="M98">
            <v>1</v>
          </cell>
          <cell r="O98">
            <v>2034</v>
          </cell>
          <cell r="P98">
            <v>0.99</v>
          </cell>
          <cell r="Q98">
            <v>-1.0101010101010102</v>
          </cell>
          <cell r="R98">
            <v>0</v>
          </cell>
          <cell r="S98">
            <v>0.01</v>
          </cell>
          <cell r="T98">
            <v>0.01</v>
          </cell>
          <cell r="U98">
            <v>0.44700000000000001</v>
          </cell>
          <cell r="V98">
            <v>8.1949999999999992E-3</v>
          </cell>
          <cell r="W98">
            <v>250.72499999999999</v>
          </cell>
          <cell r="X98">
            <v>0</v>
          </cell>
          <cell r="Y98">
            <v>0</v>
          </cell>
          <cell r="Z98">
            <v>0</v>
          </cell>
          <cell r="AA98">
            <v>0</v>
          </cell>
        </row>
        <row r="99">
          <cell r="A99">
            <v>2035</v>
          </cell>
          <cell r="B99">
            <v>0.49399999999999999</v>
          </cell>
          <cell r="C99">
            <v>1.3333333333333333</v>
          </cell>
          <cell r="D99">
            <v>0</v>
          </cell>
          <cell r="E99">
            <v>0.05</v>
          </cell>
          <cell r="F99">
            <v>0.05</v>
          </cell>
          <cell r="G99">
            <v>10.8025</v>
          </cell>
          <cell r="H99">
            <v>0</v>
          </cell>
          <cell r="I99">
            <v>18.625</v>
          </cell>
          <cell r="J99">
            <v>0</v>
          </cell>
          <cell r="K99">
            <v>42</v>
          </cell>
          <cell r="L99">
            <v>1.5</v>
          </cell>
          <cell r="M99">
            <v>1</v>
          </cell>
          <cell r="O99">
            <v>2035</v>
          </cell>
          <cell r="P99">
            <v>0.99</v>
          </cell>
          <cell r="Q99">
            <v>-1.0101010101010102</v>
          </cell>
          <cell r="R99">
            <v>0</v>
          </cell>
          <cell r="S99">
            <v>0.01</v>
          </cell>
          <cell r="T99">
            <v>0.01</v>
          </cell>
          <cell r="U99">
            <v>0.44700000000000001</v>
          </cell>
          <cell r="V99">
            <v>8.1949999999999992E-3</v>
          </cell>
          <cell r="W99">
            <v>250.72499999999999</v>
          </cell>
          <cell r="X99">
            <v>0</v>
          </cell>
          <cell r="Y99">
            <v>0</v>
          </cell>
          <cell r="Z99">
            <v>0</v>
          </cell>
          <cell r="AA99">
            <v>0</v>
          </cell>
        </row>
        <row r="101">
          <cell r="A101" t="str">
            <v>WasteCHP</v>
          </cell>
          <cell r="B101" t="str">
            <v>Eff.</v>
          </cell>
          <cell r="C101" t="str">
            <v>Cb</v>
          </cell>
          <cell r="D101" t="str">
            <v>Cv</v>
          </cell>
          <cell r="E101" t="str">
            <v>POutage</v>
          </cell>
          <cell r="F101" t="str">
            <v>UPOutage</v>
          </cell>
          <cell r="G101" t="str">
            <v>Invest</v>
          </cell>
          <cell r="H101" t="str">
            <v>O&amp;Mfixed</v>
          </cell>
          <cell r="I101" t="str">
            <v>O&amp;Mvar</v>
          </cell>
          <cell r="J101" t="str">
            <v>Desulp</v>
          </cell>
          <cell r="K101" t="str">
            <v>NO2</v>
          </cell>
          <cell r="L101" t="str">
            <v>CH4</v>
          </cell>
          <cell r="M101" t="str">
            <v>N2O</v>
          </cell>
          <cell r="O101" t="str">
            <v>HeatPump_Large</v>
          </cell>
          <cell r="P101" t="str">
            <v>Eff.</v>
          </cell>
          <cell r="Q101" t="str">
            <v>Cb</v>
          </cell>
          <cell r="R101" t="str">
            <v>Cv</v>
          </cell>
          <cell r="S101" t="str">
            <v>POutage</v>
          </cell>
          <cell r="T101" t="str">
            <v>UPOutage</v>
          </cell>
          <cell r="U101" t="str">
            <v>Invest</v>
          </cell>
          <cell r="V101" t="str">
            <v>O&amp;Mfixed</v>
          </cell>
          <cell r="W101" t="str">
            <v>O&amp;Mvar</v>
          </cell>
          <cell r="X101" t="str">
            <v>Desulp</v>
          </cell>
          <cell r="Y101" t="str">
            <v>NO2</v>
          </cell>
          <cell r="Z101" t="str">
            <v>CH4</v>
          </cell>
          <cell r="AA101" t="str">
            <v>N2O</v>
          </cell>
        </row>
        <row r="102">
          <cell r="A102" t="str">
            <v>Investeringsår</v>
          </cell>
          <cell r="B102" t="str">
            <v>%</v>
          </cell>
          <cell r="C102" t="str">
            <v>p.u.</v>
          </cell>
          <cell r="D102" t="str">
            <v>p.u.</v>
          </cell>
          <cell r="E102" t="str">
            <v>%</v>
          </cell>
          <cell r="F102" t="str">
            <v>%</v>
          </cell>
          <cell r="G102" t="str">
            <v>Mkr./MW</v>
          </cell>
          <cell r="H102" t="str">
            <v>Mkr/MWy</v>
          </cell>
          <cell r="I102" t="str">
            <v>kr/MWh</v>
          </cell>
          <cell r="J102" t="str">
            <v>p.u</v>
          </cell>
          <cell r="K102" t="str">
            <v>g/GJ</v>
          </cell>
          <cell r="L102" t="str">
            <v>g/GJ</v>
          </cell>
          <cell r="M102" t="str">
            <v>g/GJ</v>
          </cell>
          <cell r="O102" t="str">
            <v>Investeringsår</v>
          </cell>
          <cell r="P102" t="str">
            <v>%</v>
          </cell>
          <cell r="Q102" t="str">
            <v>p.u.</v>
          </cell>
          <cell r="R102" t="str">
            <v>p.u.</v>
          </cell>
          <cell r="S102" t="str">
            <v>%</v>
          </cell>
          <cell r="T102" t="str">
            <v>%</v>
          </cell>
          <cell r="U102" t="str">
            <v>Mkr./MW</v>
          </cell>
          <cell r="V102" t="str">
            <v>Mkr/MWy</v>
          </cell>
          <cell r="W102" t="str">
            <v>kr/MWh</v>
          </cell>
          <cell r="X102" t="str">
            <v>p.u</v>
          </cell>
          <cell r="Y102" t="str">
            <v>g/GJ</v>
          </cell>
          <cell r="Z102" t="str">
            <v>g/GJ</v>
          </cell>
          <cell r="AA102" t="str">
            <v>g/GJ</v>
          </cell>
        </row>
        <row r="103">
          <cell r="A103" t="str">
            <v>Existing</v>
          </cell>
          <cell r="E103">
            <v>0.06</v>
          </cell>
          <cell r="F103">
            <v>0.03</v>
          </cell>
          <cell r="H103">
            <v>1.1599999999999999</v>
          </cell>
          <cell r="I103">
            <v>0</v>
          </cell>
          <cell r="O103">
            <v>2010</v>
          </cell>
          <cell r="P103">
            <v>2.8</v>
          </cell>
          <cell r="Q103">
            <v>-0.35714285714285715</v>
          </cell>
          <cell r="R103">
            <v>0</v>
          </cell>
          <cell r="S103">
            <v>0.05</v>
          </cell>
          <cell r="T103">
            <v>0.05</v>
          </cell>
          <cell r="U103">
            <v>5.0660000000000007</v>
          </cell>
          <cell r="V103">
            <v>4.0974999999999998E-2</v>
          </cell>
          <cell r="W103">
            <v>0</v>
          </cell>
          <cell r="X103">
            <v>0</v>
          </cell>
          <cell r="Y103">
            <v>0</v>
          </cell>
          <cell r="Z103">
            <v>0</v>
          </cell>
          <cell r="AA103">
            <v>0</v>
          </cell>
        </row>
        <row r="104">
          <cell r="A104">
            <v>2010</v>
          </cell>
          <cell r="B104">
            <v>0.22799999999999998</v>
          </cell>
          <cell r="C104">
            <v>0.32432432432432434</v>
          </cell>
          <cell r="D104">
            <v>0</v>
          </cell>
          <cell r="E104">
            <v>0.06</v>
          </cell>
          <cell r="F104">
            <v>0.01</v>
          </cell>
          <cell r="G104">
            <v>63.325000000000003</v>
          </cell>
          <cell r="H104">
            <v>1.1599999999999999</v>
          </cell>
          <cell r="I104">
            <v>0</v>
          </cell>
          <cell r="J104">
            <v>0.98199999999999998</v>
          </cell>
          <cell r="K104">
            <v>124</v>
          </cell>
          <cell r="L104">
            <v>0.59</v>
          </cell>
          <cell r="M104">
            <v>1.2</v>
          </cell>
          <cell r="O104">
            <v>2011</v>
          </cell>
          <cell r="P104">
            <v>2.8</v>
          </cell>
          <cell r="Q104">
            <v>-0.35714285714285715</v>
          </cell>
          <cell r="R104">
            <v>0</v>
          </cell>
          <cell r="S104">
            <v>0.05</v>
          </cell>
          <cell r="T104">
            <v>0.05</v>
          </cell>
          <cell r="U104">
            <v>5.0660000000000007</v>
          </cell>
          <cell r="V104">
            <v>4.0974999999999998E-2</v>
          </cell>
          <cell r="W104">
            <v>0</v>
          </cell>
          <cell r="X104">
            <v>0</v>
          </cell>
          <cell r="Y104">
            <v>0</v>
          </cell>
          <cell r="Z104">
            <v>0</v>
          </cell>
          <cell r="AA104">
            <v>0</v>
          </cell>
        </row>
        <row r="105">
          <cell r="A105">
            <v>2011</v>
          </cell>
          <cell r="B105">
            <v>0.22799999999999998</v>
          </cell>
          <cell r="C105">
            <v>0.32432432432432434</v>
          </cell>
          <cell r="D105">
            <v>0</v>
          </cell>
          <cell r="E105">
            <v>0.06</v>
          </cell>
          <cell r="F105">
            <v>0.01</v>
          </cell>
          <cell r="G105">
            <v>63.325000000000003</v>
          </cell>
          <cell r="H105">
            <v>1.1599999999999999</v>
          </cell>
          <cell r="I105">
            <v>0</v>
          </cell>
          <cell r="J105">
            <v>0.98199999999999998</v>
          </cell>
          <cell r="K105">
            <v>124</v>
          </cell>
          <cell r="L105">
            <v>0.59</v>
          </cell>
          <cell r="M105">
            <v>1.2</v>
          </cell>
          <cell r="O105">
            <v>2012</v>
          </cell>
          <cell r="P105">
            <v>2.8</v>
          </cell>
          <cell r="Q105">
            <v>-0.35714285714285715</v>
          </cell>
          <cell r="R105">
            <v>0</v>
          </cell>
          <cell r="S105">
            <v>0.05</v>
          </cell>
          <cell r="T105">
            <v>0.05</v>
          </cell>
          <cell r="U105">
            <v>5.0660000000000007</v>
          </cell>
          <cell r="V105">
            <v>4.0974999999999998E-2</v>
          </cell>
          <cell r="W105">
            <v>0</v>
          </cell>
          <cell r="X105">
            <v>0</v>
          </cell>
          <cell r="Y105">
            <v>0</v>
          </cell>
          <cell r="Z105">
            <v>0</v>
          </cell>
          <cell r="AA105">
            <v>0</v>
          </cell>
        </row>
        <row r="106">
          <cell r="A106">
            <v>2012</v>
          </cell>
          <cell r="B106">
            <v>0.22799999999999998</v>
          </cell>
          <cell r="C106">
            <v>0.32432432432432434</v>
          </cell>
          <cell r="D106">
            <v>0</v>
          </cell>
          <cell r="E106">
            <v>0.06</v>
          </cell>
          <cell r="F106">
            <v>0.01</v>
          </cell>
          <cell r="G106">
            <v>63.325000000000003</v>
          </cell>
          <cell r="H106">
            <v>1.1599999999999999</v>
          </cell>
          <cell r="I106">
            <v>0</v>
          </cell>
          <cell r="J106">
            <v>0.98199999999999998</v>
          </cell>
          <cell r="K106">
            <v>124</v>
          </cell>
          <cell r="L106">
            <v>0.59</v>
          </cell>
          <cell r="M106">
            <v>1.2</v>
          </cell>
          <cell r="O106">
            <v>2013</v>
          </cell>
          <cell r="P106">
            <v>2.8</v>
          </cell>
          <cell r="Q106">
            <v>-0.35714285714285715</v>
          </cell>
          <cell r="R106">
            <v>0</v>
          </cell>
          <cell r="S106">
            <v>0.05</v>
          </cell>
          <cell r="T106">
            <v>0.05</v>
          </cell>
          <cell r="U106">
            <v>5.0660000000000007</v>
          </cell>
          <cell r="V106">
            <v>4.0974999999999998E-2</v>
          </cell>
          <cell r="W106">
            <v>0</v>
          </cell>
          <cell r="X106">
            <v>0</v>
          </cell>
          <cell r="Y106">
            <v>0</v>
          </cell>
          <cell r="Z106">
            <v>0</v>
          </cell>
          <cell r="AA106">
            <v>0</v>
          </cell>
        </row>
        <row r="107">
          <cell r="A107">
            <v>2013</v>
          </cell>
          <cell r="B107">
            <v>0.22799999999999998</v>
          </cell>
          <cell r="C107">
            <v>0.32432432432432434</v>
          </cell>
          <cell r="D107">
            <v>0</v>
          </cell>
          <cell r="E107">
            <v>0.06</v>
          </cell>
          <cell r="F107">
            <v>0.01</v>
          </cell>
          <cell r="G107">
            <v>63.325000000000003</v>
          </cell>
          <cell r="H107">
            <v>1.1599999999999999</v>
          </cell>
          <cell r="I107">
            <v>0</v>
          </cell>
          <cell r="J107">
            <v>0.98199999999999998</v>
          </cell>
          <cell r="K107">
            <v>124</v>
          </cell>
          <cell r="L107">
            <v>0.59</v>
          </cell>
          <cell r="M107">
            <v>1.2</v>
          </cell>
          <cell r="O107">
            <v>2014</v>
          </cell>
          <cell r="P107">
            <v>2.8</v>
          </cell>
          <cell r="Q107">
            <v>-0.35714285714285715</v>
          </cell>
          <cell r="R107">
            <v>0</v>
          </cell>
          <cell r="S107">
            <v>0.05</v>
          </cell>
          <cell r="T107">
            <v>0.05</v>
          </cell>
          <cell r="U107">
            <v>5.0660000000000007</v>
          </cell>
          <cell r="V107">
            <v>4.0974999999999998E-2</v>
          </cell>
          <cell r="W107">
            <v>0</v>
          </cell>
          <cell r="X107">
            <v>0</v>
          </cell>
          <cell r="Y107">
            <v>0</v>
          </cell>
          <cell r="Z107">
            <v>0</v>
          </cell>
          <cell r="AA107">
            <v>0</v>
          </cell>
        </row>
        <row r="108">
          <cell r="A108">
            <v>2014</v>
          </cell>
          <cell r="B108">
            <v>0.22799999999999998</v>
          </cell>
          <cell r="C108">
            <v>0.32432432432432434</v>
          </cell>
          <cell r="D108">
            <v>0</v>
          </cell>
          <cell r="E108">
            <v>0.06</v>
          </cell>
          <cell r="F108">
            <v>0.01</v>
          </cell>
          <cell r="G108">
            <v>63.325000000000003</v>
          </cell>
          <cell r="H108">
            <v>1.1599999999999999</v>
          </cell>
          <cell r="I108">
            <v>0</v>
          </cell>
          <cell r="J108">
            <v>0.98199999999999998</v>
          </cell>
          <cell r="K108">
            <v>124</v>
          </cell>
          <cell r="L108">
            <v>0.59</v>
          </cell>
          <cell r="M108">
            <v>1.2</v>
          </cell>
          <cell r="O108">
            <v>2015</v>
          </cell>
          <cell r="P108">
            <v>2.8</v>
          </cell>
          <cell r="Q108">
            <v>-0.35714285714285715</v>
          </cell>
          <cell r="R108">
            <v>0</v>
          </cell>
          <cell r="S108">
            <v>0.05</v>
          </cell>
          <cell r="T108">
            <v>0.05</v>
          </cell>
          <cell r="U108">
            <v>5.0660000000000007</v>
          </cell>
          <cell r="V108">
            <v>4.0974999999999998E-2</v>
          </cell>
          <cell r="W108">
            <v>0</v>
          </cell>
          <cell r="X108">
            <v>0</v>
          </cell>
          <cell r="Y108">
            <v>0</v>
          </cell>
          <cell r="Z108">
            <v>0</v>
          </cell>
          <cell r="AA108">
            <v>0</v>
          </cell>
        </row>
        <row r="109">
          <cell r="A109">
            <v>2015</v>
          </cell>
          <cell r="B109">
            <v>0.22799999999999998</v>
          </cell>
          <cell r="C109">
            <v>0.32432432432432434</v>
          </cell>
          <cell r="D109">
            <v>0</v>
          </cell>
          <cell r="E109">
            <v>0.06</v>
          </cell>
          <cell r="F109">
            <v>0.01</v>
          </cell>
          <cell r="G109">
            <v>63.325000000000003</v>
          </cell>
          <cell r="H109">
            <v>1.1599999999999999</v>
          </cell>
          <cell r="I109">
            <v>0</v>
          </cell>
          <cell r="J109">
            <v>0.98199999999999998</v>
          </cell>
          <cell r="K109">
            <v>124</v>
          </cell>
          <cell r="L109">
            <v>0.59</v>
          </cell>
          <cell r="M109">
            <v>1.2</v>
          </cell>
          <cell r="O109">
            <v>2016</v>
          </cell>
          <cell r="P109">
            <v>2.82</v>
          </cell>
          <cell r="Q109">
            <v>-0.3546099290780142</v>
          </cell>
          <cell r="R109">
            <v>0</v>
          </cell>
          <cell r="S109">
            <v>0.05</v>
          </cell>
          <cell r="T109">
            <v>0.05</v>
          </cell>
          <cell r="U109">
            <v>4.9915000000000003</v>
          </cell>
          <cell r="V109">
            <v>3.8218499999999996E-2</v>
          </cell>
          <cell r="W109">
            <v>0</v>
          </cell>
          <cell r="X109">
            <v>0</v>
          </cell>
          <cell r="Y109">
            <v>0</v>
          </cell>
          <cell r="Z109">
            <v>0</v>
          </cell>
          <cell r="AA109">
            <v>0</v>
          </cell>
        </row>
        <row r="110">
          <cell r="A110">
            <v>2016</v>
          </cell>
          <cell r="B110">
            <v>0.23179999999999998</v>
          </cell>
          <cell r="C110">
            <v>0.3326988960791778</v>
          </cell>
          <cell r="D110">
            <v>0</v>
          </cell>
          <cell r="E110">
            <v>0.06</v>
          </cell>
          <cell r="F110">
            <v>0.01</v>
          </cell>
          <cell r="G110">
            <v>63.325000000000003</v>
          </cell>
          <cell r="H110">
            <v>1.1599999999999999</v>
          </cell>
          <cell r="I110">
            <v>0</v>
          </cell>
          <cell r="J110">
            <v>0.98239999999999994</v>
          </cell>
          <cell r="K110">
            <v>105.2</v>
          </cell>
          <cell r="L110">
            <v>0.59</v>
          </cell>
          <cell r="M110">
            <v>1.2</v>
          </cell>
          <cell r="O110">
            <v>2017</v>
          </cell>
          <cell r="P110">
            <v>2.84</v>
          </cell>
          <cell r="Q110">
            <v>-0.35211267605633806</v>
          </cell>
          <cell r="R110">
            <v>0</v>
          </cell>
          <cell r="S110">
            <v>0.05</v>
          </cell>
          <cell r="T110">
            <v>0.05</v>
          </cell>
          <cell r="U110">
            <v>4.9169999999999998</v>
          </cell>
          <cell r="V110">
            <v>3.5461999999999994E-2</v>
          </cell>
          <cell r="W110">
            <v>0</v>
          </cell>
          <cell r="X110">
            <v>0</v>
          </cell>
          <cell r="Y110">
            <v>0</v>
          </cell>
          <cell r="Z110">
            <v>0</v>
          </cell>
          <cell r="AA110">
            <v>0</v>
          </cell>
        </row>
        <row r="111">
          <cell r="A111">
            <v>2017</v>
          </cell>
          <cell r="B111">
            <v>0.23559999999999998</v>
          </cell>
          <cell r="C111">
            <v>0.34107346783403125</v>
          </cell>
          <cell r="D111">
            <v>0</v>
          </cell>
          <cell r="E111">
            <v>0.06</v>
          </cell>
          <cell r="F111">
            <v>0.01</v>
          </cell>
          <cell r="G111">
            <v>63.325000000000003</v>
          </cell>
          <cell r="H111">
            <v>1.1599999999999999</v>
          </cell>
          <cell r="I111">
            <v>0</v>
          </cell>
          <cell r="J111">
            <v>0.9827999999999999</v>
          </cell>
          <cell r="K111">
            <v>86.4</v>
          </cell>
          <cell r="L111">
            <v>0.59</v>
          </cell>
          <cell r="M111">
            <v>1.2</v>
          </cell>
          <cell r="O111">
            <v>2018</v>
          </cell>
          <cell r="P111">
            <v>2.86</v>
          </cell>
          <cell r="Q111">
            <v>-0.34965034965034969</v>
          </cell>
          <cell r="R111">
            <v>0</v>
          </cell>
          <cell r="S111">
            <v>0.05</v>
          </cell>
          <cell r="T111">
            <v>0.05</v>
          </cell>
          <cell r="U111">
            <v>4.8424999999999994</v>
          </cell>
          <cell r="V111">
            <v>3.2705499999999992E-2</v>
          </cell>
          <cell r="W111">
            <v>0</v>
          </cell>
          <cell r="X111">
            <v>0</v>
          </cell>
          <cell r="Y111">
            <v>0</v>
          </cell>
          <cell r="Z111">
            <v>0</v>
          </cell>
          <cell r="AA111">
            <v>0</v>
          </cell>
        </row>
        <row r="112">
          <cell r="A112">
            <v>2018</v>
          </cell>
          <cell r="B112">
            <v>0.23939999999999997</v>
          </cell>
          <cell r="C112">
            <v>0.34944803958888471</v>
          </cell>
          <cell r="D112">
            <v>0</v>
          </cell>
          <cell r="E112">
            <v>0.06</v>
          </cell>
          <cell r="F112">
            <v>0.01</v>
          </cell>
          <cell r="G112">
            <v>63.325000000000003</v>
          </cell>
          <cell r="H112">
            <v>1.1599999999999999</v>
          </cell>
          <cell r="I112">
            <v>0</v>
          </cell>
          <cell r="J112">
            <v>0.98319999999999985</v>
          </cell>
          <cell r="K112">
            <v>67.600000000000009</v>
          </cell>
          <cell r="L112">
            <v>0.59</v>
          </cell>
          <cell r="M112">
            <v>1.2</v>
          </cell>
          <cell r="O112">
            <v>2019</v>
          </cell>
          <cell r="P112">
            <v>2.88</v>
          </cell>
          <cell r="Q112">
            <v>-0.34722222222222221</v>
          </cell>
          <cell r="R112">
            <v>0</v>
          </cell>
          <cell r="S112">
            <v>0.05</v>
          </cell>
          <cell r="T112">
            <v>0.05</v>
          </cell>
          <cell r="U112">
            <v>4.7679999999999989</v>
          </cell>
          <cell r="V112">
            <v>2.9948999999999993E-2</v>
          </cell>
          <cell r="W112">
            <v>0</v>
          </cell>
          <cell r="X112">
            <v>0</v>
          </cell>
          <cell r="Y112">
            <v>0</v>
          </cell>
          <cell r="Z112">
            <v>0</v>
          </cell>
          <cell r="AA112">
            <v>0</v>
          </cell>
        </row>
        <row r="113">
          <cell r="A113">
            <v>2019</v>
          </cell>
          <cell r="B113">
            <v>0.24319999999999997</v>
          </cell>
          <cell r="C113">
            <v>0.35782261134373816</v>
          </cell>
          <cell r="D113">
            <v>0</v>
          </cell>
          <cell r="E113">
            <v>0.06</v>
          </cell>
          <cell r="F113">
            <v>0.01</v>
          </cell>
          <cell r="G113">
            <v>63.325000000000003</v>
          </cell>
          <cell r="H113">
            <v>1.1599999999999999</v>
          </cell>
          <cell r="I113">
            <v>0</v>
          </cell>
          <cell r="J113">
            <v>0.98359999999999981</v>
          </cell>
          <cell r="K113">
            <v>48.800000000000011</v>
          </cell>
          <cell r="L113">
            <v>0.59</v>
          </cell>
          <cell r="M113">
            <v>1.2</v>
          </cell>
          <cell r="O113">
            <v>2020</v>
          </cell>
          <cell r="P113">
            <v>2.9</v>
          </cell>
          <cell r="Q113">
            <v>-0.34482758620689657</v>
          </cell>
          <cell r="R113">
            <v>0</v>
          </cell>
          <cell r="S113">
            <v>0.05</v>
          </cell>
          <cell r="T113">
            <v>0.05</v>
          </cell>
          <cell r="U113">
            <v>4.6935000000000002</v>
          </cell>
          <cell r="V113">
            <v>2.7192500000000001E-2</v>
          </cell>
          <cell r="W113">
            <v>0</v>
          </cell>
          <cell r="X113">
            <v>0</v>
          </cell>
          <cell r="Y113">
            <v>0</v>
          </cell>
          <cell r="Z113">
            <v>0</v>
          </cell>
          <cell r="AA113">
            <v>0</v>
          </cell>
        </row>
        <row r="114">
          <cell r="A114">
            <v>2020</v>
          </cell>
          <cell r="B114">
            <v>0.247</v>
          </cell>
          <cell r="C114">
            <v>0.36619718309859156</v>
          </cell>
          <cell r="D114">
            <v>0</v>
          </cell>
          <cell r="E114">
            <v>0.06</v>
          </cell>
          <cell r="F114">
            <v>0.01</v>
          </cell>
          <cell r="G114">
            <v>63.325000000000003</v>
          </cell>
          <cell r="H114">
            <v>1.1599999999999999</v>
          </cell>
          <cell r="I114">
            <v>0</v>
          </cell>
          <cell r="J114">
            <v>0.98399999999999999</v>
          </cell>
          <cell r="K114">
            <v>30</v>
          </cell>
          <cell r="L114">
            <v>0.59</v>
          </cell>
          <cell r="M114">
            <v>1.2</v>
          </cell>
          <cell r="O114">
            <v>2021</v>
          </cell>
          <cell r="P114">
            <v>2.91</v>
          </cell>
          <cell r="Q114">
            <v>-0.3436426116838488</v>
          </cell>
          <cell r="R114">
            <v>0</v>
          </cell>
          <cell r="S114">
            <v>0.05</v>
          </cell>
          <cell r="T114">
            <v>0.05</v>
          </cell>
          <cell r="U114">
            <v>4.6525249999999998</v>
          </cell>
          <cell r="V114">
            <v>2.7192500000000001E-2</v>
          </cell>
          <cell r="W114">
            <v>0</v>
          </cell>
          <cell r="X114">
            <v>0</v>
          </cell>
          <cell r="Y114">
            <v>0</v>
          </cell>
          <cell r="Z114">
            <v>0</v>
          </cell>
          <cell r="AA114">
            <v>0</v>
          </cell>
        </row>
        <row r="115">
          <cell r="A115">
            <v>2021</v>
          </cell>
          <cell r="B115">
            <v>0.247</v>
          </cell>
          <cell r="C115">
            <v>0.36619718309859156</v>
          </cell>
          <cell r="D115">
            <v>0</v>
          </cell>
          <cell r="E115">
            <v>0.06</v>
          </cell>
          <cell r="F115">
            <v>0.01</v>
          </cell>
          <cell r="G115">
            <v>63.325000000000003</v>
          </cell>
          <cell r="H115">
            <v>1.1599999999999999</v>
          </cell>
          <cell r="I115">
            <v>0</v>
          </cell>
          <cell r="J115">
            <v>0.98399999999999999</v>
          </cell>
          <cell r="K115">
            <v>30</v>
          </cell>
          <cell r="L115">
            <v>0.59</v>
          </cell>
          <cell r="M115">
            <v>1.2</v>
          </cell>
          <cell r="O115">
            <v>2022</v>
          </cell>
          <cell r="P115">
            <v>2.92</v>
          </cell>
          <cell r="Q115">
            <v>-0.34246575342465752</v>
          </cell>
          <cell r="R115">
            <v>0</v>
          </cell>
          <cell r="S115">
            <v>0.05</v>
          </cell>
          <cell r="T115">
            <v>0.05</v>
          </cell>
          <cell r="U115">
            <v>4.6115499999999994</v>
          </cell>
          <cell r="V115">
            <v>2.7192500000000001E-2</v>
          </cell>
          <cell r="W115">
            <v>0</v>
          </cell>
          <cell r="X115">
            <v>0</v>
          </cell>
          <cell r="Y115">
            <v>0</v>
          </cell>
          <cell r="Z115">
            <v>0</v>
          </cell>
          <cell r="AA115">
            <v>0</v>
          </cell>
        </row>
        <row r="116">
          <cell r="A116">
            <v>2022</v>
          </cell>
          <cell r="B116">
            <v>0.247</v>
          </cell>
          <cell r="C116">
            <v>0.36619718309859156</v>
          </cell>
          <cell r="D116">
            <v>0</v>
          </cell>
          <cell r="E116">
            <v>0.06</v>
          </cell>
          <cell r="F116">
            <v>0.01</v>
          </cell>
          <cell r="G116">
            <v>63.325000000000003</v>
          </cell>
          <cell r="H116">
            <v>1.1599999999999999</v>
          </cell>
          <cell r="I116">
            <v>0</v>
          </cell>
          <cell r="J116">
            <v>0.98399999999999999</v>
          </cell>
          <cell r="K116">
            <v>30</v>
          </cell>
          <cell r="L116">
            <v>0.59</v>
          </cell>
          <cell r="M116">
            <v>1.2</v>
          </cell>
          <cell r="O116">
            <v>2023</v>
          </cell>
          <cell r="P116">
            <v>2.9299999999999997</v>
          </cell>
          <cell r="Q116">
            <v>-0.34129692832764508</v>
          </cell>
          <cell r="R116">
            <v>0</v>
          </cell>
          <cell r="S116">
            <v>0.05</v>
          </cell>
          <cell r="T116">
            <v>0.05</v>
          </cell>
          <cell r="U116">
            <v>4.5705749999999989</v>
          </cell>
          <cell r="V116">
            <v>2.7192500000000001E-2</v>
          </cell>
          <cell r="W116">
            <v>0</v>
          </cell>
          <cell r="X116">
            <v>0</v>
          </cell>
          <cell r="Y116">
            <v>0</v>
          </cell>
          <cell r="Z116">
            <v>0</v>
          </cell>
          <cell r="AA116">
            <v>0</v>
          </cell>
        </row>
        <row r="117">
          <cell r="A117">
            <v>2023</v>
          </cell>
          <cell r="B117">
            <v>0.247</v>
          </cell>
          <cell r="C117">
            <v>0.36619718309859156</v>
          </cell>
          <cell r="D117">
            <v>0</v>
          </cell>
          <cell r="E117">
            <v>0.06</v>
          </cell>
          <cell r="F117">
            <v>0.01</v>
          </cell>
          <cell r="G117">
            <v>63.325000000000003</v>
          </cell>
          <cell r="H117">
            <v>1.1599999999999999</v>
          </cell>
          <cell r="I117">
            <v>0</v>
          </cell>
          <cell r="J117">
            <v>0.98399999999999999</v>
          </cell>
          <cell r="K117">
            <v>30</v>
          </cell>
          <cell r="L117">
            <v>0.59</v>
          </cell>
          <cell r="M117">
            <v>1.2</v>
          </cell>
          <cell r="O117">
            <v>2024</v>
          </cell>
          <cell r="P117">
            <v>2.9399999999999995</v>
          </cell>
          <cell r="Q117">
            <v>-0.34013605442176875</v>
          </cell>
          <cell r="R117">
            <v>0</v>
          </cell>
          <cell r="S117">
            <v>0.05</v>
          </cell>
          <cell r="T117">
            <v>0.05</v>
          </cell>
          <cell r="U117">
            <v>4.5295999999999985</v>
          </cell>
          <cell r="V117">
            <v>2.7192500000000001E-2</v>
          </cell>
          <cell r="W117">
            <v>0</v>
          </cell>
          <cell r="X117">
            <v>0</v>
          </cell>
          <cell r="Y117">
            <v>0</v>
          </cell>
          <cell r="Z117">
            <v>0</v>
          </cell>
          <cell r="AA117">
            <v>0</v>
          </cell>
        </row>
        <row r="118">
          <cell r="A118">
            <v>2024</v>
          </cell>
          <cell r="B118">
            <v>0.247</v>
          </cell>
          <cell r="C118">
            <v>0.36619718309859156</v>
          </cell>
          <cell r="D118">
            <v>0</v>
          </cell>
          <cell r="E118">
            <v>0.06</v>
          </cell>
          <cell r="F118">
            <v>0.01</v>
          </cell>
          <cell r="G118">
            <v>63.325000000000003</v>
          </cell>
          <cell r="H118">
            <v>1.1599999999999999</v>
          </cell>
          <cell r="I118">
            <v>0</v>
          </cell>
          <cell r="J118">
            <v>0.98399999999999999</v>
          </cell>
          <cell r="K118">
            <v>30</v>
          </cell>
          <cell r="L118">
            <v>0.59</v>
          </cell>
          <cell r="M118">
            <v>1.2</v>
          </cell>
          <cell r="O118">
            <v>2025</v>
          </cell>
          <cell r="P118">
            <v>2.9499999999999993</v>
          </cell>
          <cell r="Q118">
            <v>-0.33898305084745772</v>
          </cell>
          <cell r="R118">
            <v>0</v>
          </cell>
          <cell r="S118">
            <v>0.05</v>
          </cell>
          <cell r="T118">
            <v>0.05</v>
          </cell>
          <cell r="U118">
            <v>4.4886249999999981</v>
          </cell>
          <cell r="V118">
            <v>2.7192500000000001E-2</v>
          </cell>
          <cell r="W118">
            <v>0</v>
          </cell>
          <cell r="X118">
            <v>0</v>
          </cell>
          <cell r="Y118">
            <v>0</v>
          </cell>
          <cell r="Z118">
            <v>0</v>
          </cell>
          <cell r="AA118">
            <v>0</v>
          </cell>
        </row>
        <row r="119">
          <cell r="A119">
            <v>2025</v>
          </cell>
          <cell r="B119">
            <v>0.247</v>
          </cell>
          <cell r="C119">
            <v>0.36619718309859156</v>
          </cell>
          <cell r="D119">
            <v>0</v>
          </cell>
          <cell r="E119">
            <v>0.06</v>
          </cell>
          <cell r="F119">
            <v>0.01</v>
          </cell>
          <cell r="G119">
            <v>63.325000000000003</v>
          </cell>
          <cell r="H119">
            <v>1.1599999999999999</v>
          </cell>
          <cell r="I119">
            <v>0</v>
          </cell>
          <cell r="J119">
            <v>0.98399999999999999</v>
          </cell>
          <cell r="K119">
            <v>30</v>
          </cell>
          <cell r="L119">
            <v>0.59</v>
          </cell>
          <cell r="M119">
            <v>1.2</v>
          </cell>
          <cell r="O119">
            <v>2026</v>
          </cell>
          <cell r="P119">
            <v>2.9599999999999991</v>
          </cell>
          <cell r="Q119">
            <v>-0.33783783783783794</v>
          </cell>
          <cell r="R119">
            <v>0</v>
          </cell>
          <cell r="S119">
            <v>0.05</v>
          </cell>
          <cell r="T119">
            <v>0.05</v>
          </cell>
          <cell r="U119">
            <v>4.4476499999999977</v>
          </cell>
          <cell r="V119">
            <v>2.7192500000000001E-2</v>
          </cell>
          <cell r="W119">
            <v>0</v>
          </cell>
          <cell r="X119">
            <v>0</v>
          </cell>
          <cell r="Y119">
            <v>0</v>
          </cell>
          <cell r="Z119">
            <v>0</v>
          </cell>
          <cell r="AA119">
            <v>0</v>
          </cell>
        </row>
        <row r="120">
          <cell r="A120">
            <v>2026</v>
          </cell>
          <cell r="B120">
            <v>0.247</v>
          </cell>
          <cell r="C120">
            <v>0.36619718309859156</v>
          </cell>
          <cell r="D120">
            <v>0</v>
          </cell>
          <cell r="E120">
            <v>0.06</v>
          </cell>
          <cell r="F120">
            <v>0.01</v>
          </cell>
          <cell r="G120">
            <v>63.325000000000003</v>
          </cell>
          <cell r="H120">
            <v>1.1599999999999999</v>
          </cell>
          <cell r="I120">
            <v>0</v>
          </cell>
          <cell r="J120">
            <v>0.98399999999999999</v>
          </cell>
          <cell r="K120">
            <v>30</v>
          </cell>
          <cell r="L120">
            <v>0.59</v>
          </cell>
          <cell r="M120">
            <v>1.2</v>
          </cell>
          <cell r="O120">
            <v>2027</v>
          </cell>
          <cell r="P120">
            <v>2.9699999999999989</v>
          </cell>
          <cell r="Q120">
            <v>-0.33670033670033683</v>
          </cell>
          <cell r="R120">
            <v>0</v>
          </cell>
          <cell r="S120">
            <v>0.05</v>
          </cell>
          <cell r="T120">
            <v>0.05</v>
          </cell>
          <cell r="U120">
            <v>4.4066749999999972</v>
          </cell>
          <cell r="V120">
            <v>2.7192500000000001E-2</v>
          </cell>
          <cell r="W120">
            <v>0</v>
          </cell>
          <cell r="X120">
            <v>0</v>
          </cell>
          <cell r="Y120">
            <v>0</v>
          </cell>
          <cell r="Z120">
            <v>0</v>
          </cell>
          <cell r="AA120">
            <v>0</v>
          </cell>
        </row>
        <row r="121">
          <cell r="A121">
            <v>2027</v>
          </cell>
          <cell r="B121">
            <v>0.247</v>
          </cell>
          <cell r="C121">
            <v>0.36619718309859156</v>
          </cell>
          <cell r="D121">
            <v>0</v>
          </cell>
          <cell r="E121">
            <v>0.06</v>
          </cell>
          <cell r="F121">
            <v>0.01</v>
          </cell>
          <cell r="G121">
            <v>63.325000000000003</v>
          </cell>
          <cell r="H121">
            <v>1.1599999999999999</v>
          </cell>
          <cell r="I121">
            <v>0</v>
          </cell>
          <cell r="J121">
            <v>0.98399999999999999</v>
          </cell>
          <cell r="K121">
            <v>30</v>
          </cell>
          <cell r="L121">
            <v>0.59</v>
          </cell>
          <cell r="M121">
            <v>1.2</v>
          </cell>
          <cell r="O121">
            <v>2028</v>
          </cell>
          <cell r="P121">
            <v>2.9799999999999986</v>
          </cell>
          <cell r="Q121">
            <v>-0.33557046979865784</v>
          </cell>
          <cell r="R121">
            <v>0</v>
          </cell>
          <cell r="S121">
            <v>0.05</v>
          </cell>
          <cell r="T121">
            <v>0.05</v>
          </cell>
          <cell r="U121">
            <v>4.3656999999999968</v>
          </cell>
          <cell r="V121">
            <v>2.7192500000000001E-2</v>
          </cell>
          <cell r="W121">
            <v>0</v>
          </cell>
          <cell r="X121">
            <v>0</v>
          </cell>
          <cell r="Y121">
            <v>0</v>
          </cell>
          <cell r="Z121">
            <v>0</v>
          </cell>
          <cell r="AA121">
            <v>0</v>
          </cell>
        </row>
        <row r="122">
          <cell r="A122">
            <v>2028</v>
          </cell>
          <cell r="B122">
            <v>0.247</v>
          </cell>
          <cell r="C122">
            <v>0.36619718309859156</v>
          </cell>
          <cell r="D122">
            <v>0</v>
          </cell>
          <cell r="E122">
            <v>0.06</v>
          </cell>
          <cell r="F122">
            <v>0.01</v>
          </cell>
          <cell r="G122">
            <v>63.325000000000003</v>
          </cell>
          <cell r="H122">
            <v>1.1599999999999999</v>
          </cell>
          <cell r="I122">
            <v>0</v>
          </cell>
          <cell r="J122">
            <v>0.98399999999999999</v>
          </cell>
          <cell r="K122">
            <v>30</v>
          </cell>
          <cell r="L122">
            <v>0.59</v>
          </cell>
          <cell r="M122">
            <v>1.2</v>
          </cell>
          <cell r="O122">
            <v>2029</v>
          </cell>
          <cell r="P122">
            <v>2.9899999999999984</v>
          </cell>
          <cell r="Q122">
            <v>-0.33444816053511722</v>
          </cell>
          <cell r="R122">
            <v>0</v>
          </cell>
          <cell r="S122">
            <v>0.05</v>
          </cell>
          <cell r="T122">
            <v>0.05</v>
          </cell>
          <cell r="U122">
            <v>4.3247249999999964</v>
          </cell>
          <cell r="V122">
            <v>2.7192500000000001E-2</v>
          </cell>
          <cell r="W122">
            <v>0</v>
          </cell>
          <cell r="X122">
            <v>0</v>
          </cell>
          <cell r="Y122">
            <v>0</v>
          </cell>
          <cell r="Z122">
            <v>0</v>
          </cell>
          <cell r="AA122">
            <v>0</v>
          </cell>
        </row>
        <row r="123">
          <cell r="A123">
            <v>2029</v>
          </cell>
          <cell r="B123">
            <v>0.247</v>
          </cell>
          <cell r="C123">
            <v>0.36619718309859156</v>
          </cell>
          <cell r="D123">
            <v>0</v>
          </cell>
          <cell r="E123">
            <v>0.06</v>
          </cell>
          <cell r="F123">
            <v>0.01</v>
          </cell>
          <cell r="G123">
            <v>63.325000000000003</v>
          </cell>
          <cell r="H123">
            <v>1.1599999999999999</v>
          </cell>
          <cell r="I123">
            <v>0</v>
          </cell>
          <cell r="J123">
            <v>0.98399999999999999</v>
          </cell>
          <cell r="K123">
            <v>30</v>
          </cell>
          <cell r="L123">
            <v>0.59</v>
          </cell>
          <cell r="M123">
            <v>1.2</v>
          </cell>
          <cell r="O123">
            <v>2030</v>
          </cell>
          <cell r="P123">
            <v>3</v>
          </cell>
          <cell r="Q123">
            <v>-0.33333333333333331</v>
          </cell>
          <cell r="R123">
            <v>0</v>
          </cell>
          <cell r="S123">
            <v>0.05</v>
          </cell>
          <cell r="T123">
            <v>0.05</v>
          </cell>
          <cell r="U123">
            <v>4.2837499999999995</v>
          </cell>
          <cell r="V123">
            <v>2.7192500000000001E-2</v>
          </cell>
          <cell r="W123">
            <v>0</v>
          </cell>
          <cell r="X123">
            <v>0</v>
          </cell>
          <cell r="Y123">
            <v>0</v>
          </cell>
          <cell r="Z123">
            <v>0</v>
          </cell>
          <cell r="AA123">
            <v>0</v>
          </cell>
        </row>
        <row r="124">
          <cell r="A124">
            <v>2030</v>
          </cell>
          <cell r="B124">
            <v>0.247</v>
          </cell>
          <cell r="C124">
            <v>0.36619718309859156</v>
          </cell>
          <cell r="D124">
            <v>0</v>
          </cell>
          <cell r="E124">
            <v>0.06</v>
          </cell>
          <cell r="F124">
            <v>0.01</v>
          </cell>
          <cell r="G124">
            <v>63.325000000000003</v>
          </cell>
          <cell r="H124">
            <v>1.1599999999999999</v>
          </cell>
          <cell r="I124">
            <v>0</v>
          </cell>
          <cell r="J124">
            <v>0.98399999999999999</v>
          </cell>
          <cell r="K124">
            <v>30</v>
          </cell>
          <cell r="L124">
            <v>0.59</v>
          </cell>
          <cell r="M124">
            <v>1.2</v>
          </cell>
          <cell r="O124">
            <v>2031</v>
          </cell>
          <cell r="P124">
            <v>3</v>
          </cell>
          <cell r="Q124">
            <v>-0.33333333333333331</v>
          </cell>
          <cell r="R124">
            <v>0</v>
          </cell>
          <cell r="S124">
            <v>0.05</v>
          </cell>
          <cell r="T124">
            <v>0.05</v>
          </cell>
          <cell r="U124">
            <v>4.2837499999999995</v>
          </cell>
          <cell r="V124">
            <v>2.7192500000000001E-2</v>
          </cell>
          <cell r="W124">
            <v>0</v>
          </cell>
          <cell r="X124">
            <v>0</v>
          </cell>
          <cell r="Y124">
            <v>0</v>
          </cell>
          <cell r="Z124">
            <v>0</v>
          </cell>
          <cell r="AA124">
            <v>0</v>
          </cell>
        </row>
        <row r="125">
          <cell r="A125">
            <v>2031</v>
          </cell>
          <cell r="B125">
            <v>0.247</v>
          </cell>
          <cell r="C125">
            <v>0.36619718309859156</v>
          </cell>
          <cell r="D125">
            <v>0</v>
          </cell>
          <cell r="E125">
            <v>0.06</v>
          </cell>
          <cell r="F125">
            <v>0.01</v>
          </cell>
          <cell r="G125">
            <v>63.325000000000003</v>
          </cell>
          <cell r="H125">
            <v>1.1599999999999999</v>
          </cell>
          <cell r="I125">
            <v>0</v>
          </cell>
          <cell r="J125">
            <v>0.98399999999999999</v>
          </cell>
          <cell r="K125">
            <v>30</v>
          </cell>
          <cell r="L125">
            <v>0.59</v>
          </cell>
          <cell r="M125">
            <v>1.2</v>
          </cell>
          <cell r="O125">
            <v>2032</v>
          </cell>
          <cell r="P125">
            <v>3</v>
          </cell>
          <cell r="Q125">
            <v>-0.33333333333333331</v>
          </cell>
          <cell r="R125">
            <v>0</v>
          </cell>
          <cell r="S125">
            <v>0.05</v>
          </cell>
          <cell r="T125">
            <v>0.05</v>
          </cell>
          <cell r="U125">
            <v>4.2837499999999995</v>
          </cell>
          <cell r="V125">
            <v>2.7192500000000001E-2</v>
          </cell>
          <cell r="W125">
            <v>0</v>
          </cell>
          <cell r="X125">
            <v>0</v>
          </cell>
          <cell r="Y125">
            <v>0</v>
          </cell>
          <cell r="Z125">
            <v>0</v>
          </cell>
          <cell r="AA125">
            <v>0</v>
          </cell>
        </row>
        <row r="126">
          <cell r="A126">
            <v>2032</v>
          </cell>
          <cell r="B126">
            <v>0.247</v>
          </cell>
          <cell r="C126">
            <v>0.36619718309859156</v>
          </cell>
          <cell r="D126">
            <v>0</v>
          </cell>
          <cell r="E126">
            <v>0.06</v>
          </cell>
          <cell r="F126">
            <v>0.01</v>
          </cell>
          <cell r="G126">
            <v>63.325000000000003</v>
          </cell>
          <cell r="H126">
            <v>1.1599999999999999</v>
          </cell>
          <cell r="I126">
            <v>0</v>
          </cell>
          <cell r="J126">
            <v>0.98399999999999999</v>
          </cell>
          <cell r="K126">
            <v>30</v>
          </cell>
          <cell r="L126">
            <v>0.59</v>
          </cell>
          <cell r="M126">
            <v>1.2</v>
          </cell>
          <cell r="O126">
            <v>2033</v>
          </cell>
          <cell r="P126">
            <v>3</v>
          </cell>
          <cell r="Q126">
            <v>-0.33333333333333331</v>
          </cell>
          <cell r="R126">
            <v>0</v>
          </cell>
          <cell r="S126">
            <v>0.05</v>
          </cell>
          <cell r="T126">
            <v>0.05</v>
          </cell>
          <cell r="U126">
            <v>4.2837499999999995</v>
          </cell>
          <cell r="V126">
            <v>2.7192500000000001E-2</v>
          </cell>
          <cell r="W126">
            <v>0</v>
          </cell>
          <cell r="X126">
            <v>0</v>
          </cell>
          <cell r="Y126">
            <v>0</v>
          </cell>
          <cell r="Z126">
            <v>0</v>
          </cell>
          <cell r="AA126">
            <v>0</v>
          </cell>
        </row>
        <row r="127">
          <cell r="A127">
            <v>2033</v>
          </cell>
          <cell r="B127">
            <v>0.247</v>
          </cell>
          <cell r="C127">
            <v>0.36619718309859156</v>
          </cell>
          <cell r="D127">
            <v>0</v>
          </cell>
          <cell r="E127">
            <v>0.06</v>
          </cell>
          <cell r="F127">
            <v>0.01</v>
          </cell>
          <cell r="G127">
            <v>63.325000000000003</v>
          </cell>
          <cell r="H127">
            <v>1.1599999999999999</v>
          </cell>
          <cell r="I127">
            <v>0</v>
          </cell>
          <cell r="J127">
            <v>0.98399999999999999</v>
          </cell>
          <cell r="K127">
            <v>30</v>
          </cell>
          <cell r="L127">
            <v>0.59</v>
          </cell>
          <cell r="M127">
            <v>1.2</v>
          </cell>
          <cell r="O127">
            <v>2034</v>
          </cell>
          <cell r="P127">
            <v>3</v>
          </cell>
          <cell r="Q127">
            <v>-0.33333333333333331</v>
          </cell>
          <cell r="R127">
            <v>0</v>
          </cell>
          <cell r="S127">
            <v>0.05</v>
          </cell>
          <cell r="T127">
            <v>0.05</v>
          </cell>
          <cell r="U127">
            <v>4.2837499999999995</v>
          </cell>
          <cell r="V127">
            <v>2.7192500000000001E-2</v>
          </cell>
          <cell r="W127">
            <v>0</v>
          </cell>
          <cell r="X127">
            <v>0</v>
          </cell>
          <cell r="Y127">
            <v>0</v>
          </cell>
          <cell r="Z127">
            <v>0</v>
          </cell>
          <cell r="AA127">
            <v>0</v>
          </cell>
        </row>
        <row r="128">
          <cell r="A128">
            <v>2034</v>
          </cell>
          <cell r="B128">
            <v>0.247</v>
          </cell>
          <cell r="C128">
            <v>0.36619718309859156</v>
          </cell>
          <cell r="D128">
            <v>0</v>
          </cell>
          <cell r="E128">
            <v>0.06</v>
          </cell>
          <cell r="F128">
            <v>0.01</v>
          </cell>
          <cell r="G128">
            <v>63.325000000000003</v>
          </cell>
          <cell r="H128">
            <v>1.1599999999999999</v>
          </cell>
          <cell r="I128">
            <v>0</v>
          </cell>
          <cell r="J128">
            <v>0.98399999999999999</v>
          </cell>
          <cell r="K128">
            <v>30</v>
          </cell>
          <cell r="L128">
            <v>0.59</v>
          </cell>
          <cell r="M128">
            <v>1.2</v>
          </cell>
          <cell r="O128">
            <v>2035</v>
          </cell>
          <cell r="P128">
            <v>3</v>
          </cell>
          <cell r="Q128">
            <v>-0.33333333333333331</v>
          </cell>
          <cell r="R128">
            <v>0</v>
          </cell>
          <cell r="S128">
            <v>0.05</v>
          </cell>
          <cell r="T128">
            <v>0.05</v>
          </cell>
          <cell r="U128">
            <v>4.2837499999999995</v>
          </cell>
          <cell r="V128">
            <v>2.7192500000000001E-2</v>
          </cell>
          <cell r="W128">
            <v>0</v>
          </cell>
          <cell r="X128">
            <v>0</v>
          </cell>
          <cell r="Y128">
            <v>0</v>
          </cell>
          <cell r="Z128">
            <v>0</v>
          </cell>
          <cell r="AA128">
            <v>0</v>
          </cell>
        </row>
        <row r="129">
          <cell r="A129">
            <v>2035</v>
          </cell>
          <cell r="B129">
            <v>0.247</v>
          </cell>
          <cell r="C129">
            <v>0.36619718309859156</v>
          </cell>
          <cell r="D129">
            <v>0</v>
          </cell>
          <cell r="E129">
            <v>0.06</v>
          </cell>
          <cell r="F129">
            <v>0.01</v>
          </cell>
          <cell r="G129">
            <v>63.325000000000003</v>
          </cell>
          <cell r="H129">
            <v>1.1599999999999999</v>
          </cell>
          <cell r="I129">
            <v>0</v>
          </cell>
          <cell r="J129">
            <v>0.98399999999999999</v>
          </cell>
          <cell r="K129">
            <v>30</v>
          </cell>
          <cell r="L129">
            <v>0.59</v>
          </cell>
          <cell r="M129">
            <v>1.2</v>
          </cell>
        </row>
        <row r="131">
          <cell r="A131" t="str">
            <v>Wood_SmallBP</v>
          </cell>
          <cell r="B131" t="str">
            <v>Eff.</v>
          </cell>
          <cell r="C131" t="str">
            <v>Cb</v>
          </cell>
          <cell r="D131" t="str">
            <v>Cv</v>
          </cell>
          <cell r="E131" t="str">
            <v>POutage</v>
          </cell>
          <cell r="F131" t="str">
            <v>UPOutage</v>
          </cell>
          <cell r="G131" t="str">
            <v>Invest</v>
          </cell>
          <cell r="H131" t="str">
            <v>O&amp;Mfixed</v>
          </cell>
          <cell r="I131" t="str">
            <v>O&amp;Mvar</v>
          </cell>
          <cell r="J131" t="str">
            <v>Desulp</v>
          </cell>
          <cell r="K131" t="str">
            <v>NO2</v>
          </cell>
          <cell r="L131" t="str">
            <v>CH4</v>
          </cell>
          <cell r="M131" t="str">
            <v>N2O</v>
          </cell>
        </row>
        <row r="132">
          <cell r="A132" t="str">
            <v>Investeringsår</v>
          </cell>
          <cell r="B132" t="str">
            <v>%</v>
          </cell>
          <cell r="C132" t="str">
            <v>p.u.</v>
          </cell>
          <cell r="D132" t="str">
            <v>p.u.</v>
          </cell>
          <cell r="E132" t="str">
            <v>%</v>
          </cell>
          <cell r="F132" t="str">
            <v>%</v>
          </cell>
          <cell r="G132" t="str">
            <v>Mkr./MW</v>
          </cell>
          <cell r="H132" t="str">
            <v>Mkr/MWy</v>
          </cell>
          <cell r="I132" t="str">
            <v>kr/MWh</v>
          </cell>
          <cell r="J132" t="str">
            <v>p.u</v>
          </cell>
          <cell r="K132" t="str">
            <v>g/GJ</v>
          </cell>
          <cell r="L132" t="str">
            <v>g/GJ</v>
          </cell>
          <cell r="M132" t="str">
            <v>g/GJ</v>
          </cell>
        </row>
        <row r="133">
          <cell r="A133">
            <v>2010</v>
          </cell>
          <cell r="B133">
            <v>0.23749999999999999</v>
          </cell>
          <cell r="C133">
            <v>0.32051282051282048</v>
          </cell>
          <cell r="D133">
            <v>0.15</v>
          </cell>
          <cell r="E133">
            <v>7.0000000000000007E-2</v>
          </cell>
          <cell r="F133">
            <v>7.0000000000000007E-2</v>
          </cell>
          <cell r="G133">
            <v>31.662500000000001</v>
          </cell>
          <cell r="H133">
            <v>0.17249999999999999</v>
          </cell>
          <cell r="I133">
            <v>24</v>
          </cell>
          <cell r="J133">
            <v>0</v>
          </cell>
          <cell r="K133">
            <v>81</v>
          </cell>
          <cell r="L133">
            <v>2</v>
          </cell>
          <cell r="M133">
            <v>0.8</v>
          </cell>
        </row>
        <row r="134">
          <cell r="A134">
            <v>2011</v>
          </cell>
          <cell r="B134">
            <v>0.23749999999999999</v>
          </cell>
          <cell r="C134">
            <v>0.32051282051282048</v>
          </cell>
          <cell r="D134">
            <v>0.15</v>
          </cell>
          <cell r="E134">
            <v>7.0000000000000007E-2</v>
          </cell>
          <cell r="F134">
            <v>7.0000000000000007E-2</v>
          </cell>
          <cell r="G134">
            <v>31.662500000000001</v>
          </cell>
          <cell r="H134">
            <v>0.17249999999999999</v>
          </cell>
          <cell r="I134">
            <v>24</v>
          </cell>
          <cell r="J134">
            <v>0</v>
          </cell>
          <cell r="K134">
            <v>81</v>
          </cell>
          <cell r="L134">
            <v>2</v>
          </cell>
          <cell r="M134">
            <v>0.8</v>
          </cell>
        </row>
        <row r="135">
          <cell r="A135">
            <v>2012</v>
          </cell>
          <cell r="B135">
            <v>0.23749999999999999</v>
          </cell>
          <cell r="C135">
            <v>0.32051282051282048</v>
          </cell>
          <cell r="D135">
            <v>0.15</v>
          </cell>
          <cell r="E135">
            <v>7.0000000000000007E-2</v>
          </cell>
          <cell r="F135">
            <v>7.0000000000000007E-2</v>
          </cell>
          <cell r="G135">
            <v>31.662500000000001</v>
          </cell>
          <cell r="H135">
            <v>0.17249999999999999</v>
          </cell>
          <cell r="I135">
            <v>24</v>
          </cell>
          <cell r="J135">
            <v>0</v>
          </cell>
          <cell r="K135">
            <v>81</v>
          </cell>
          <cell r="L135">
            <v>2</v>
          </cell>
          <cell r="M135">
            <v>0.8</v>
          </cell>
        </row>
        <row r="136">
          <cell r="A136">
            <v>2013</v>
          </cell>
          <cell r="B136">
            <v>0.23749999999999999</v>
          </cell>
          <cell r="C136">
            <v>0.32051282051282048</v>
          </cell>
          <cell r="D136">
            <v>0.15</v>
          </cell>
          <cell r="E136">
            <v>7.0000000000000007E-2</v>
          </cell>
          <cell r="F136">
            <v>7.0000000000000007E-2</v>
          </cell>
          <cell r="G136">
            <v>31.662500000000001</v>
          </cell>
          <cell r="H136">
            <v>0.17249999999999999</v>
          </cell>
          <cell r="I136">
            <v>24</v>
          </cell>
          <cell r="J136">
            <v>0</v>
          </cell>
          <cell r="K136">
            <v>81</v>
          </cell>
          <cell r="L136">
            <v>2</v>
          </cell>
          <cell r="M136">
            <v>0.8</v>
          </cell>
        </row>
        <row r="137">
          <cell r="A137">
            <v>2014</v>
          </cell>
          <cell r="B137">
            <v>0.23749999999999999</v>
          </cell>
          <cell r="C137">
            <v>0.32051282051282048</v>
          </cell>
          <cell r="D137">
            <v>0.15</v>
          </cell>
          <cell r="E137">
            <v>7.0000000000000007E-2</v>
          </cell>
          <cell r="F137">
            <v>7.0000000000000007E-2</v>
          </cell>
          <cell r="G137">
            <v>31.662500000000001</v>
          </cell>
          <cell r="H137">
            <v>0.17249999999999999</v>
          </cell>
          <cell r="I137">
            <v>24</v>
          </cell>
          <cell r="J137">
            <v>0</v>
          </cell>
          <cell r="K137">
            <v>81</v>
          </cell>
          <cell r="L137">
            <v>2</v>
          </cell>
          <cell r="M137">
            <v>0.8</v>
          </cell>
        </row>
        <row r="138">
          <cell r="A138">
            <v>2015</v>
          </cell>
          <cell r="B138">
            <v>0.23749999999999999</v>
          </cell>
          <cell r="C138">
            <v>0.32051282051282048</v>
          </cell>
          <cell r="D138">
            <v>0.15</v>
          </cell>
          <cell r="E138">
            <v>7.0000000000000007E-2</v>
          </cell>
          <cell r="F138">
            <v>7.0000000000000007E-2</v>
          </cell>
          <cell r="G138">
            <v>31.662500000000001</v>
          </cell>
          <cell r="H138">
            <v>0.17249999999999999</v>
          </cell>
          <cell r="I138">
            <v>24</v>
          </cell>
          <cell r="J138">
            <v>0</v>
          </cell>
          <cell r="K138">
            <v>81</v>
          </cell>
          <cell r="L138">
            <v>2</v>
          </cell>
          <cell r="M138">
            <v>0.8</v>
          </cell>
        </row>
        <row r="139">
          <cell r="A139">
            <v>2016</v>
          </cell>
          <cell r="B139">
            <v>0.23749999999999999</v>
          </cell>
          <cell r="C139">
            <v>0.32051282051282048</v>
          </cell>
          <cell r="D139">
            <v>0.15</v>
          </cell>
          <cell r="E139">
            <v>7.0000000000000007E-2</v>
          </cell>
          <cell r="F139">
            <v>7.0000000000000007E-2</v>
          </cell>
          <cell r="G139">
            <v>30.545000000000002</v>
          </cell>
          <cell r="H139">
            <v>0.17249999999999999</v>
          </cell>
          <cell r="I139">
            <v>24</v>
          </cell>
          <cell r="J139">
            <v>0</v>
          </cell>
          <cell r="K139">
            <v>81</v>
          </cell>
          <cell r="L139">
            <v>2</v>
          </cell>
          <cell r="M139">
            <v>0.8</v>
          </cell>
        </row>
        <row r="140">
          <cell r="A140">
            <v>2017</v>
          </cell>
          <cell r="B140">
            <v>0.23749999999999999</v>
          </cell>
          <cell r="C140">
            <v>0.32051282051282048</v>
          </cell>
          <cell r="D140">
            <v>0.15</v>
          </cell>
          <cell r="E140">
            <v>7.0000000000000007E-2</v>
          </cell>
          <cell r="F140">
            <v>7.0000000000000007E-2</v>
          </cell>
          <cell r="G140">
            <v>29.427500000000002</v>
          </cell>
          <cell r="H140">
            <v>0.17249999999999999</v>
          </cell>
          <cell r="I140">
            <v>24</v>
          </cell>
          <cell r="J140">
            <v>0</v>
          </cell>
          <cell r="K140">
            <v>81</v>
          </cell>
          <cell r="L140">
            <v>2</v>
          </cell>
          <cell r="M140">
            <v>0.8</v>
          </cell>
        </row>
        <row r="141">
          <cell r="A141">
            <v>2018</v>
          </cell>
          <cell r="B141">
            <v>0.23749999999999999</v>
          </cell>
          <cell r="C141">
            <v>0.32051282051282048</v>
          </cell>
          <cell r="D141">
            <v>0.15</v>
          </cell>
          <cell r="E141">
            <v>7.0000000000000007E-2</v>
          </cell>
          <cell r="F141">
            <v>7.0000000000000007E-2</v>
          </cell>
          <cell r="G141">
            <v>28.310000000000002</v>
          </cell>
          <cell r="H141">
            <v>0.17249999999999999</v>
          </cell>
          <cell r="I141">
            <v>24</v>
          </cell>
          <cell r="J141">
            <v>0</v>
          </cell>
          <cell r="K141">
            <v>81</v>
          </cell>
          <cell r="L141">
            <v>2</v>
          </cell>
          <cell r="M141">
            <v>0.8</v>
          </cell>
        </row>
        <row r="142">
          <cell r="A142">
            <v>2019</v>
          </cell>
          <cell r="B142">
            <v>0.23749999999999999</v>
          </cell>
          <cell r="C142">
            <v>0.32051282051282048</v>
          </cell>
          <cell r="D142">
            <v>0.15</v>
          </cell>
          <cell r="E142">
            <v>7.0000000000000007E-2</v>
          </cell>
          <cell r="F142">
            <v>7.0000000000000007E-2</v>
          </cell>
          <cell r="G142">
            <v>27.192500000000003</v>
          </cell>
          <cell r="H142">
            <v>0.17249999999999999</v>
          </cell>
          <cell r="I142">
            <v>24</v>
          </cell>
          <cell r="J142">
            <v>0</v>
          </cell>
          <cell r="K142">
            <v>81</v>
          </cell>
          <cell r="L142">
            <v>2</v>
          </cell>
          <cell r="M142">
            <v>0.8</v>
          </cell>
        </row>
        <row r="143">
          <cell r="A143">
            <v>2020</v>
          </cell>
          <cell r="B143">
            <v>0.23749999999999999</v>
          </cell>
          <cell r="C143">
            <v>0.32051282051282048</v>
          </cell>
          <cell r="D143">
            <v>0.15</v>
          </cell>
          <cell r="E143">
            <v>7.0000000000000007E-2</v>
          </cell>
          <cell r="F143">
            <v>7.0000000000000007E-2</v>
          </cell>
          <cell r="G143">
            <v>26.074999999999999</v>
          </cell>
          <cell r="H143">
            <v>0.17249999999999999</v>
          </cell>
          <cell r="I143">
            <v>24</v>
          </cell>
          <cell r="J143">
            <v>0</v>
          </cell>
          <cell r="K143">
            <v>81</v>
          </cell>
          <cell r="L143">
            <v>2</v>
          </cell>
          <cell r="M143">
            <v>0.8</v>
          </cell>
        </row>
        <row r="144">
          <cell r="A144">
            <v>2021</v>
          </cell>
          <cell r="B144">
            <v>0.23749999999999999</v>
          </cell>
          <cell r="C144">
            <v>0.32051282051282048</v>
          </cell>
          <cell r="D144">
            <v>0.15</v>
          </cell>
          <cell r="E144">
            <v>7.0000000000000007E-2</v>
          </cell>
          <cell r="F144">
            <v>7.0000000000000007E-2</v>
          </cell>
          <cell r="G144">
            <v>26.074999999999999</v>
          </cell>
          <cell r="H144">
            <v>0.17249999999999999</v>
          </cell>
          <cell r="I144">
            <v>24</v>
          </cell>
          <cell r="J144">
            <v>0</v>
          </cell>
          <cell r="K144">
            <v>81</v>
          </cell>
          <cell r="L144">
            <v>2</v>
          </cell>
          <cell r="M144">
            <v>0.8</v>
          </cell>
        </row>
        <row r="145">
          <cell r="A145">
            <v>2022</v>
          </cell>
          <cell r="B145">
            <v>0.23749999999999999</v>
          </cell>
          <cell r="C145">
            <v>0.32051282051282048</v>
          </cell>
          <cell r="D145">
            <v>0.15</v>
          </cell>
          <cell r="E145">
            <v>7.0000000000000007E-2</v>
          </cell>
          <cell r="F145">
            <v>7.0000000000000007E-2</v>
          </cell>
          <cell r="G145">
            <v>26.074999999999999</v>
          </cell>
          <cell r="H145">
            <v>0.17249999999999999</v>
          </cell>
          <cell r="I145">
            <v>24</v>
          </cell>
          <cell r="J145">
            <v>0</v>
          </cell>
          <cell r="K145">
            <v>81</v>
          </cell>
          <cell r="L145">
            <v>2</v>
          </cell>
          <cell r="M145">
            <v>0.8</v>
          </cell>
        </row>
        <row r="146">
          <cell r="A146">
            <v>2023</v>
          </cell>
          <cell r="B146">
            <v>0.23749999999999999</v>
          </cell>
          <cell r="C146">
            <v>0.32051282051282048</v>
          </cell>
          <cell r="D146">
            <v>0.15</v>
          </cell>
          <cell r="E146">
            <v>7.0000000000000007E-2</v>
          </cell>
          <cell r="F146">
            <v>7.0000000000000007E-2</v>
          </cell>
          <cell r="G146">
            <v>26.074999999999999</v>
          </cell>
          <cell r="H146">
            <v>0.17249999999999999</v>
          </cell>
          <cell r="I146">
            <v>24</v>
          </cell>
          <cell r="J146">
            <v>0</v>
          </cell>
          <cell r="K146">
            <v>81</v>
          </cell>
          <cell r="L146">
            <v>2</v>
          </cell>
          <cell r="M146">
            <v>0.8</v>
          </cell>
        </row>
        <row r="147">
          <cell r="A147">
            <v>2024</v>
          </cell>
          <cell r="B147">
            <v>0.23749999999999999</v>
          </cell>
          <cell r="C147">
            <v>0.32051282051282048</v>
          </cell>
          <cell r="D147">
            <v>0.15</v>
          </cell>
          <cell r="E147">
            <v>7.0000000000000007E-2</v>
          </cell>
          <cell r="F147">
            <v>7.0000000000000007E-2</v>
          </cell>
          <cell r="G147">
            <v>26.074999999999999</v>
          </cell>
          <cell r="H147">
            <v>0.17249999999999999</v>
          </cell>
          <cell r="I147">
            <v>24</v>
          </cell>
          <cell r="J147">
            <v>0</v>
          </cell>
          <cell r="K147">
            <v>81</v>
          </cell>
          <cell r="L147">
            <v>2</v>
          </cell>
          <cell r="M147">
            <v>0.8</v>
          </cell>
        </row>
        <row r="148">
          <cell r="A148">
            <v>2025</v>
          </cell>
          <cell r="B148">
            <v>0.23749999999999999</v>
          </cell>
          <cell r="C148">
            <v>0.32051282051282048</v>
          </cell>
          <cell r="D148">
            <v>0.15</v>
          </cell>
          <cell r="E148">
            <v>7.0000000000000007E-2</v>
          </cell>
          <cell r="F148">
            <v>7.0000000000000007E-2</v>
          </cell>
          <cell r="G148">
            <v>26.074999999999999</v>
          </cell>
          <cell r="H148">
            <v>0.17249999999999999</v>
          </cell>
          <cell r="I148">
            <v>24</v>
          </cell>
          <cell r="J148">
            <v>0</v>
          </cell>
          <cell r="K148">
            <v>81</v>
          </cell>
          <cell r="L148">
            <v>2</v>
          </cell>
          <cell r="M148">
            <v>0.8</v>
          </cell>
        </row>
        <row r="149">
          <cell r="A149">
            <v>2026</v>
          </cell>
          <cell r="B149">
            <v>0.23749999999999999</v>
          </cell>
          <cell r="C149">
            <v>0.32051282051282048</v>
          </cell>
          <cell r="D149">
            <v>0.15</v>
          </cell>
          <cell r="E149">
            <v>7.0000000000000007E-2</v>
          </cell>
          <cell r="F149">
            <v>7.0000000000000007E-2</v>
          </cell>
          <cell r="G149">
            <v>26.074999999999999</v>
          </cell>
          <cell r="H149">
            <v>0.17249999999999999</v>
          </cell>
          <cell r="I149">
            <v>24</v>
          </cell>
          <cell r="J149">
            <v>0</v>
          </cell>
          <cell r="K149">
            <v>81</v>
          </cell>
          <cell r="L149">
            <v>2</v>
          </cell>
          <cell r="M149">
            <v>0.8</v>
          </cell>
        </row>
        <row r="150">
          <cell r="A150">
            <v>2027</v>
          </cell>
          <cell r="B150">
            <v>0.23749999999999999</v>
          </cell>
          <cell r="C150">
            <v>0.32051282051282048</v>
          </cell>
          <cell r="D150">
            <v>0.15</v>
          </cell>
          <cell r="E150">
            <v>7.0000000000000007E-2</v>
          </cell>
          <cell r="F150">
            <v>7.0000000000000007E-2</v>
          </cell>
          <cell r="G150">
            <v>26.074999999999999</v>
          </cell>
          <cell r="H150">
            <v>0.17249999999999999</v>
          </cell>
          <cell r="I150">
            <v>24</v>
          </cell>
          <cell r="J150">
            <v>0</v>
          </cell>
          <cell r="K150">
            <v>81</v>
          </cell>
          <cell r="L150">
            <v>2</v>
          </cell>
          <cell r="M150">
            <v>0.8</v>
          </cell>
        </row>
        <row r="151">
          <cell r="A151">
            <v>2028</v>
          </cell>
          <cell r="B151">
            <v>0.23749999999999999</v>
          </cell>
          <cell r="C151">
            <v>0.32051282051282048</v>
          </cell>
          <cell r="D151">
            <v>0.15</v>
          </cell>
          <cell r="E151">
            <v>7.0000000000000007E-2</v>
          </cell>
          <cell r="F151">
            <v>7.0000000000000007E-2</v>
          </cell>
          <cell r="G151">
            <v>26.074999999999999</v>
          </cell>
          <cell r="H151">
            <v>0.17249999999999999</v>
          </cell>
          <cell r="I151">
            <v>24</v>
          </cell>
          <cell r="J151">
            <v>0</v>
          </cell>
          <cell r="K151">
            <v>81</v>
          </cell>
          <cell r="L151">
            <v>2</v>
          </cell>
          <cell r="M151">
            <v>0.8</v>
          </cell>
        </row>
        <row r="152">
          <cell r="A152">
            <v>2029</v>
          </cell>
          <cell r="B152">
            <v>0.23749999999999999</v>
          </cell>
          <cell r="C152">
            <v>0.32051282051282048</v>
          </cell>
          <cell r="D152">
            <v>0.15</v>
          </cell>
          <cell r="E152">
            <v>7.0000000000000007E-2</v>
          </cell>
          <cell r="F152">
            <v>7.0000000000000007E-2</v>
          </cell>
          <cell r="G152">
            <v>26.074999999999999</v>
          </cell>
          <cell r="H152">
            <v>0.17249999999999999</v>
          </cell>
          <cell r="I152">
            <v>24</v>
          </cell>
          <cell r="J152">
            <v>0</v>
          </cell>
          <cell r="K152">
            <v>81</v>
          </cell>
          <cell r="L152">
            <v>2</v>
          </cell>
          <cell r="M152">
            <v>0.8</v>
          </cell>
        </row>
        <row r="153">
          <cell r="A153">
            <v>2030</v>
          </cell>
          <cell r="B153">
            <v>0.23749999999999999</v>
          </cell>
          <cell r="C153">
            <v>0.32051282051282048</v>
          </cell>
          <cell r="D153">
            <v>0.15</v>
          </cell>
          <cell r="E153">
            <v>7.0000000000000007E-2</v>
          </cell>
          <cell r="F153">
            <v>7.0000000000000007E-2</v>
          </cell>
          <cell r="G153">
            <v>26.074999999999999</v>
          </cell>
          <cell r="H153">
            <v>0.17249999999999999</v>
          </cell>
          <cell r="I153">
            <v>24</v>
          </cell>
          <cell r="J153">
            <v>0</v>
          </cell>
          <cell r="K153">
            <v>81</v>
          </cell>
          <cell r="L153">
            <v>2</v>
          </cell>
          <cell r="M153">
            <v>0.8</v>
          </cell>
        </row>
        <row r="154">
          <cell r="A154">
            <v>2031</v>
          </cell>
          <cell r="B154">
            <v>0.23749999999999999</v>
          </cell>
          <cell r="C154">
            <v>0.32051282051282048</v>
          </cell>
          <cell r="D154">
            <v>0.15</v>
          </cell>
          <cell r="E154">
            <v>7.0000000000000007E-2</v>
          </cell>
          <cell r="F154">
            <v>7.0000000000000007E-2</v>
          </cell>
          <cell r="G154">
            <v>26.074999999999999</v>
          </cell>
          <cell r="H154">
            <v>0.17249999999999999</v>
          </cell>
          <cell r="I154">
            <v>24</v>
          </cell>
          <cell r="J154">
            <v>0</v>
          </cell>
          <cell r="K154">
            <v>81</v>
          </cell>
          <cell r="L154">
            <v>2</v>
          </cell>
          <cell r="M154">
            <v>0.8</v>
          </cell>
        </row>
        <row r="155">
          <cell r="A155">
            <v>2032</v>
          </cell>
          <cell r="B155">
            <v>0.23749999999999999</v>
          </cell>
          <cell r="C155">
            <v>0.32051282051282048</v>
          </cell>
          <cell r="D155">
            <v>0.15</v>
          </cell>
          <cell r="E155">
            <v>7.0000000000000007E-2</v>
          </cell>
          <cell r="F155">
            <v>7.0000000000000007E-2</v>
          </cell>
          <cell r="G155">
            <v>26.074999999999999</v>
          </cell>
          <cell r="H155">
            <v>0.17249999999999999</v>
          </cell>
          <cell r="I155">
            <v>24</v>
          </cell>
          <cell r="J155">
            <v>0</v>
          </cell>
          <cell r="K155">
            <v>81</v>
          </cell>
          <cell r="L155">
            <v>2</v>
          </cell>
          <cell r="M155">
            <v>0.8</v>
          </cell>
        </row>
        <row r="156">
          <cell r="A156">
            <v>2033</v>
          </cell>
          <cell r="B156">
            <v>0.23749999999999999</v>
          </cell>
          <cell r="C156">
            <v>0.32051282051282048</v>
          </cell>
          <cell r="D156">
            <v>0.15</v>
          </cell>
          <cell r="E156">
            <v>7.0000000000000007E-2</v>
          </cell>
          <cell r="F156">
            <v>7.0000000000000007E-2</v>
          </cell>
          <cell r="G156">
            <v>26.074999999999999</v>
          </cell>
          <cell r="H156">
            <v>0.17249999999999999</v>
          </cell>
          <cell r="I156">
            <v>24</v>
          </cell>
          <cell r="J156">
            <v>0</v>
          </cell>
          <cell r="K156">
            <v>81</v>
          </cell>
          <cell r="L156">
            <v>2</v>
          </cell>
          <cell r="M156">
            <v>0.8</v>
          </cell>
        </row>
        <row r="157">
          <cell r="A157">
            <v>2034</v>
          </cell>
          <cell r="B157">
            <v>0.23749999999999999</v>
          </cell>
          <cell r="C157">
            <v>0.32051282051282048</v>
          </cell>
          <cell r="D157">
            <v>0.15</v>
          </cell>
          <cell r="E157">
            <v>7.0000000000000007E-2</v>
          </cell>
          <cell r="F157">
            <v>7.0000000000000007E-2</v>
          </cell>
          <cell r="G157">
            <v>26.074999999999999</v>
          </cell>
          <cell r="H157">
            <v>0.17249999999999999</v>
          </cell>
          <cell r="I157">
            <v>24</v>
          </cell>
          <cell r="J157">
            <v>0</v>
          </cell>
          <cell r="K157">
            <v>81</v>
          </cell>
          <cell r="L157">
            <v>2</v>
          </cell>
          <cell r="M157">
            <v>0.8</v>
          </cell>
        </row>
        <row r="158">
          <cell r="A158">
            <v>2035</v>
          </cell>
          <cell r="B158">
            <v>0.23749999999999999</v>
          </cell>
          <cell r="C158">
            <v>0.32051282051282048</v>
          </cell>
          <cell r="D158">
            <v>0.15</v>
          </cell>
          <cell r="E158">
            <v>7.0000000000000007E-2</v>
          </cell>
          <cell r="F158">
            <v>7.0000000000000007E-2</v>
          </cell>
          <cell r="G158">
            <v>26.074999999999999</v>
          </cell>
          <cell r="H158">
            <v>0.17249999999999999</v>
          </cell>
          <cell r="I158">
            <v>24</v>
          </cell>
          <cell r="J158">
            <v>0</v>
          </cell>
          <cell r="K158">
            <v>81</v>
          </cell>
          <cell r="L158">
            <v>2</v>
          </cell>
          <cell r="M158">
            <v>0.8</v>
          </cell>
        </row>
      </sheetData>
      <sheetData sheetId="6">
        <row r="33">
          <cell r="A33">
            <v>2010</v>
          </cell>
        </row>
      </sheetData>
      <sheetData sheetId="7">
        <row r="33">
          <cell r="N33">
            <v>107.37286414688937</v>
          </cell>
        </row>
      </sheetData>
      <sheetData sheetId="8"/>
      <sheetData sheetId="9"/>
      <sheetData sheetId="10"/>
      <sheetData sheetId="11"/>
      <sheetData sheetId="12"/>
      <sheetData sheetId="13"/>
      <sheetData sheetId="14"/>
      <sheetData sheetId="15"/>
      <sheetData sheetId="1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side"/>
      <sheetName val="IEA Priser"/>
      <sheetName val="Deflator &amp; Dollarkurs"/>
      <sheetName val="Brændværdier"/>
      <sheetName val="Kul, Olieprodukter &amp; Naturgas"/>
      <sheetName val="Biomasse"/>
      <sheetName val="El &amp; Fjernvarme"/>
      <sheetName val="Emissionsfaktorer"/>
      <sheetName val="Svovl &amp; NOx"/>
      <sheetName val="Tabel 1"/>
      <sheetName val="Tabel 2"/>
      <sheetName val="Tabel 3"/>
      <sheetName val="Tabel 4"/>
      <sheetName val="Tabel 5"/>
      <sheetName val="Tabel 6"/>
      <sheetName val="Tabel 7"/>
      <sheetName val="Tabel 8"/>
      <sheetName val="Tabel 9"/>
      <sheetName val="Tabel 10"/>
      <sheetName val="Tabel 11"/>
      <sheetName val="Til EMMA"/>
      <sheetName val="Til RAMSES"/>
    </sheetNames>
    <sheetDataSet>
      <sheetData sheetId="0">
        <row r="5">
          <cell r="B5">
            <v>2011</v>
          </cell>
        </row>
      </sheetData>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C"/>
      <sheetName val="ELC_ProcC"/>
      <sheetName val="Fuel"/>
      <sheetName val="O&amp;M waste and WIN "/>
    </sheetNames>
    <sheetDataSet>
      <sheetData sheetId="0"/>
      <sheetData sheetId="1"/>
      <sheetData sheetId="2"/>
      <sheetData sheetId="3"/>
      <sheetData sheetId="4"/>
      <sheetData sheetId="5">
        <row r="13">
          <cell r="K13">
            <v>0.42080205772444135</v>
          </cell>
          <cell r="L13">
            <v>9.3097800401856112</v>
          </cell>
        </row>
        <row r="14">
          <cell r="K14">
            <v>0.1678086545881684</v>
          </cell>
          <cell r="L14">
            <v>4.928707080098266</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Comm"/>
      <sheetName val="Proc"/>
      <sheetName val="ProcA"/>
      <sheetName val="ProcB"/>
      <sheetName val="Tech"/>
      <sheetName val="TechA"/>
      <sheetName val="TechB"/>
      <sheetName val="Fuel Tech"/>
      <sheetName val="Emis"/>
      <sheetName val="Fuel"/>
      <sheetName val="Adjusted O&amp;M waste and wind "/>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ow r="4">
          <cell r="C4">
            <v>1.49</v>
          </cell>
          <cell r="D4">
            <v>49.459722222222226</v>
          </cell>
        </row>
        <row r="5">
          <cell r="D5">
            <v>13.658333333333333</v>
          </cell>
        </row>
        <row r="13">
          <cell r="K13">
            <v>0.50496246926932964</v>
          </cell>
          <cell r="L13">
            <v>3.7239120160742436</v>
          </cell>
        </row>
        <row r="14">
          <cell r="K14">
            <v>0.20137038550580208</v>
          </cell>
          <cell r="L14">
            <v>1.9714828320393059</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C"/>
      <sheetName val="ELC_ProcC"/>
      <sheetName val="Fuel"/>
      <sheetName val="O&amp;M waste and WIN "/>
      <sheetName val="Adjusted O&amp;M waste and WIN "/>
    </sheetNames>
    <sheetDataSet>
      <sheetData sheetId="0"/>
      <sheetData sheetId="1"/>
      <sheetData sheetId="2"/>
      <sheetData sheetId="3"/>
      <sheetData sheetId="4"/>
      <sheetData sheetId="5">
        <row r="13">
          <cell r="K13">
            <v>0.42080205772444135</v>
          </cell>
          <cell r="L13">
            <v>9.3097800401856112</v>
          </cell>
        </row>
        <row r="14">
          <cell r="K14">
            <v>0.1678086545881684</v>
          </cell>
          <cell r="L14">
            <v>4.928707080098266</v>
          </cell>
        </row>
      </sheetData>
      <sheetData sheetId="6">
        <row r="13">
          <cell r="K13">
            <v>0.50496246926932964</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ELC_TechD"/>
      <sheetName val="ELC_ProcD"/>
      <sheetName val="Fuel"/>
      <sheetName val="O&amp;M waste and WIN "/>
    </sheetNames>
    <sheetDataSet>
      <sheetData sheetId="0"/>
      <sheetData sheetId="1"/>
      <sheetData sheetId="2"/>
      <sheetData sheetId="3"/>
      <sheetData sheetId="4">
        <row r="5">
          <cell r="E5">
            <v>0.29799999999999999</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D"/>
      <sheetName val="ELC_ProcD"/>
      <sheetName val="Fuel"/>
      <sheetName val="Adjusting O&amp;M waste and WIN "/>
      <sheetName val="O&amp;M waste and WIN "/>
    </sheetNames>
    <sheetDataSet>
      <sheetData sheetId="0"/>
      <sheetData sheetId="1"/>
      <sheetData sheetId="2"/>
      <sheetData sheetId="3"/>
      <sheetData sheetId="4"/>
      <sheetData sheetId="5">
        <row r="5">
          <cell r="E5">
            <v>0.29799999999999999</v>
          </cell>
        </row>
      </sheetData>
      <sheetData sheetId="6">
        <row r="5">
          <cell r="E5">
            <v>0.29799999999999999</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ELLE ÆNDRINGER"/>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EMMA&amp;PP"/>
      <sheetName val="Prognoser"/>
    </sheetNames>
    <sheetDataSet>
      <sheetData sheetId="0"/>
      <sheetData sheetId="1"/>
      <sheetData sheetId="2"/>
      <sheetData sheetId="3"/>
      <sheetData sheetId="4"/>
      <sheetData sheetId="5"/>
      <sheetData sheetId="6">
        <row r="37">
          <cell r="B37">
            <v>0.1</v>
          </cell>
        </row>
      </sheetData>
      <sheetData sheetId="7"/>
      <sheetData sheetId="8"/>
      <sheetData sheetId="9"/>
      <sheetData sheetId="10"/>
      <sheetData sheetId="11"/>
      <sheetData sheetId="12"/>
      <sheetData sheetId="13"/>
      <sheetData sheetId="14"/>
      <sheetData sheetId="15"/>
      <sheetData sheetId="16"/>
    </sheetDataSet>
  </externalBook>
</externalLink>
</file>

<file path=xl/theme/theme1.xml><?xml version="1.0" encoding="utf-8"?>
<a:theme xmlns:a="http://schemas.openxmlformats.org/drawingml/2006/main" name="Kontor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3.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3:F25"/>
  <sheetViews>
    <sheetView workbookViewId="0">
      <selection activeCell="E17" sqref="E17"/>
    </sheetView>
  </sheetViews>
  <sheetFormatPr defaultColWidth="7.44140625" defaultRowHeight="14.4"/>
  <cols>
    <col min="1" max="1" width="11.44140625" bestFit="1" customWidth="1"/>
    <col min="2" max="2" width="16.6640625" bestFit="1" customWidth="1"/>
    <col min="3" max="4" width="18.44140625" bestFit="1" customWidth="1"/>
    <col min="5" max="5" width="172.88671875" customWidth="1"/>
    <col min="6" max="6" width="23.33203125" bestFit="1" customWidth="1"/>
  </cols>
  <sheetData>
    <row r="3" spans="1:6">
      <c r="A3" s="9" t="s">
        <v>70</v>
      </c>
      <c r="B3" s="9" t="s">
        <v>113</v>
      </c>
      <c r="C3" s="9" t="s">
        <v>114</v>
      </c>
      <c r="D3" s="9" t="s">
        <v>115</v>
      </c>
      <c r="E3" s="9" t="s">
        <v>116</v>
      </c>
      <c r="F3" s="9"/>
    </row>
    <row r="4" spans="1:6" s="33" customFormat="1">
      <c r="A4" s="52">
        <v>43535</v>
      </c>
      <c r="B4" s="33" t="s">
        <v>320</v>
      </c>
      <c r="C4" s="33" t="s">
        <v>345</v>
      </c>
      <c r="D4" s="33" t="e">
        <f>ADDRESS(ROW(ELC_CCS_Comm!#REF!),COLUMN(ELC_CCS_Comm!#REF!),4,1)</f>
        <v>#REF!</v>
      </c>
      <c r="E4" s="33" t="s">
        <v>346</v>
      </c>
    </row>
    <row r="5" spans="1:6" s="33" customFormat="1">
      <c r="A5" s="52">
        <v>43306</v>
      </c>
      <c r="B5" s="33" t="s">
        <v>320</v>
      </c>
      <c r="C5" s="33" t="s">
        <v>321</v>
      </c>
      <c r="D5" s="33" t="e">
        <f>ADDRESS(ROW(#REF!),COLUMN(#REF!),4,1)</f>
        <v>#REF!</v>
      </c>
      <c r="E5" s="33" t="s">
        <v>322</v>
      </c>
    </row>
    <row r="6" spans="1:6" s="33" customFormat="1">
      <c r="A6" s="52">
        <v>43173</v>
      </c>
      <c r="B6" s="33" t="s">
        <v>137</v>
      </c>
      <c r="C6" s="33" t="s">
        <v>138</v>
      </c>
      <c r="D6" s="33" t="s">
        <v>139</v>
      </c>
      <c r="E6" s="33" t="s">
        <v>140</v>
      </c>
    </row>
    <row r="7" spans="1:6" s="33" customFormat="1"/>
    <row r="8" spans="1:6" s="33" customFormat="1"/>
    <row r="9" spans="1:6" s="33" customFormat="1"/>
    <row r="10" spans="1:6" s="33" customFormat="1"/>
    <row r="11" spans="1:6">
      <c r="A11" s="33"/>
      <c r="B11" s="33"/>
      <c r="C11" s="33"/>
      <c r="D11" s="33"/>
      <c r="E11" s="33"/>
    </row>
    <row r="16" spans="1:6" ht="15.6">
      <c r="D16" s="25"/>
    </row>
    <row r="17" spans="4:4" ht="15.6">
      <c r="D17" s="25"/>
    </row>
    <row r="18" spans="4:4" ht="15.6">
      <c r="D18" s="25"/>
    </row>
    <row r="19" spans="4:4" ht="15.6">
      <c r="D19" s="25"/>
    </row>
    <row r="20" spans="4:4" ht="15.6">
      <c r="D20" s="25"/>
    </row>
    <row r="21" spans="4:4" ht="15.6">
      <c r="D21" s="25"/>
    </row>
    <row r="22" spans="4:4" ht="15.6">
      <c r="D22" s="25"/>
    </row>
    <row r="23" spans="4:4" ht="15.6">
      <c r="D23" s="25"/>
    </row>
    <row r="24" spans="4:4" ht="15.6">
      <c r="D24" s="25"/>
    </row>
    <row r="25" spans="4:4" ht="15.6">
      <c r="D25" s="25"/>
    </row>
  </sheetData>
  <pageMargins left="0.7" right="0.7" top="0.75" bottom="0.75" header="0.3" footer="0.3"/>
  <pageSetup paperSize="9" orientation="portrait" horizontalDpi="4294967293" verticalDpi="429496729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Ark1">
    <tabColor theme="9"/>
  </sheetPr>
  <dimension ref="B1:C13"/>
  <sheetViews>
    <sheetView workbookViewId="0">
      <selection activeCell="C16" sqref="C16"/>
    </sheetView>
  </sheetViews>
  <sheetFormatPr defaultColWidth="9.109375" defaultRowHeight="13.8"/>
  <cols>
    <col min="1" max="1" width="9.109375" style="36"/>
    <col min="2" max="2" width="24" style="36" bestFit="1" customWidth="1"/>
    <col min="3" max="3" width="138.44140625" style="36" customWidth="1"/>
    <col min="4" max="16384" width="9.109375" style="36"/>
  </cols>
  <sheetData>
    <row r="1" spans="2:3" ht="18">
      <c r="B1" s="35" t="s">
        <v>118</v>
      </c>
    </row>
    <row r="3" spans="2:3" ht="14.4">
      <c r="B3" s="37" t="s">
        <v>119</v>
      </c>
      <c r="C3" s="36" t="s">
        <v>123</v>
      </c>
    </row>
    <row r="4" spans="2:3" ht="14.4">
      <c r="B4" s="37" t="s">
        <v>120</v>
      </c>
      <c r="C4" s="36" t="s">
        <v>124</v>
      </c>
    </row>
    <row r="5" spans="2:3" ht="14.4">
      <c r="B5" s="37"/>
    </row>
    <row r="6" spans="2:3" ht="14.4">
      <c r="B6" s="37" t="s">
        <v>121</v>
      </c>
      <c r="C6" s="36" t="s">
        <v>92</v>
      </c>
    </row>
    <row r="7" spans="2:3" ht="14.4">
      <c r="B7" s="37"/>
    </row>
    <row r="8" spans="2:3" ht="14.4">
      <c r="B8" s="38" t="s">
        <v>122</v>
      </c>
    </row>
    <row r="9" spans="2:3" ht="14.4">
      <c r="B9" s="37"/>
    </row>
    <row r="10" spans="2:3" ht="14.4">
      <c r="B10" s="39" t="s">
        <v>132</v>
      </c>
      <c r="C10" s="40" t="s">
        <v>125</v>
      </c>
    </row>
    <row r="11" spans="2:3" ht="14.4">
      <c r="B11" s="39" t="s">
        <v>133</v>
      </c>
      <c r="C11" s="40" t="s">
        <v>126</v>
      </c>
    </row>
    <row r="12" spans="2:3" ht="14.4">
      <c r="B12" s="39" t="s">
        <v>134</v>
      </c>
      <c r="C12" s="40" t="s">
        <v>141</v>
      </c>
    </row>
    <row r="13" spans="2:3">
      <c r="B13" s="41" t="s">
        <v>127</v>
      </c>
      <c r="C13" s="36" t="s">
        <v>128</v>
      </c>
    </row>
  </sheetData>
  <conditionalFormatting sqref="C3">
    <cfRule type="cellIs" dxfId="1" priority="1" operator="equal">
      <formula>"No"</formula>
    </cfRule>
    <cfRule type="cellIs" dxfId="0" priority="2" operator="equal">
      <formula>"Yes"</formula>
    </cfRule>
  </conditionalFormatting>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C7205-7D96-4DD4-9552-023E74D23366}">
  <sheetPr>
    <tabColor rgb="FF92D050"/>
  </sheetPr>
  <dimension ref="B4:K26"/>
  <sheetViews>
    <sheetView workbookViewId="0">
      <selection activeCell="U31" sqref="U31"/>
    </sheetView>
  </sheetViews>
  <sheetFormatPr defaultRowHeight="14.4"/>
  <sheetData>
    <row r="4" spans="2:11">
      <c r="C4" t="s">
        <v>1034</v>
      </c>
    </row>
    <row r="6" spans="2:11">
      <c r="C6" t="s">
        <v>5</v>
      </c>
      <c r="D6" t="s">
        <v>1029</v>
      </c>
      <c r="E6" t="s">
        <v>1030</v>
      </c>
      <c r="F6" t="s">
        <v>1031</v>
      </c>
      <c r="G6" t="s">
        <v>1035</v>
      </c>
      <c r="H6" t="s">
        <v>1045</v>
      </c>
      <c r="I6" t="s">
        <v>1028</v>
      </c>
      <c r="J6" t="s">
        <v>1048</v>
      </c>
    </row>
    <row r="7" spans="2:11">
      <c r="B7" t="s">
        <v>1036</v>
      </c>
      <c r="C7">
        <v>2020</v>
      </c>
      <c r="D7" s="82">
        <f>SUP_DAC!X6</f>
        <v>461.10169185748566</v>
      </c>
      <c r="E7" s="82">
        <f>SUP_DAC!Y6</f>
        <v>310.19286229271808</v>
      </c>
      <c r="F7" s="82">
        <f>SUP_DAC!Z6</f>
        <v>565.52624958679598</v>
      </c>
      <c r="G7" s="82">
        <f>SUP_DAC!AA6</f>
        <v>0</v>
      </c>
      <c r="I7" s="82">
        <f>SUP_DAC!AB6</f>
        <v>1336.8208037369998</v>
      </c>
      <c r="J7" s="91">
        <f>I7</f>
        <v>1336.8208037369998</v>
      </c>
    </row>
    <row r="8" spans="2:11">
      <c r="B8" t="s">
        <v>1037</v>
      </c>
      <c r="C8" s="91">
        <v>2020</v>
      </c>
      <c r="D8" s="91">
        <f>ELC_CCS_N_CAP!AC91/SUM(ELC_CCS_N_CAP!$AC$91:$AF$91)*$I$8</f>
        <v>310.7534322476601</v>
      </c>
      <c r="E8" s="91">
        <f>ELC_CCS_N_CAP!AD91/SUM(ELC_CCS_N_CAP!$AC$91:$AF$91)*$I$8</f>
        <v>121.36537403342116</v>
      </c>
      <c r="F8" s="91">
        <f>ELC_CCS_N_CAP!AE91/SUM(ELC_CCS_N_CAP!$AC$91:$AF$91)*$I$8</f>
        <v>920.62808587724203</v>
      </c>
      <c r="G8" s="91">
        <f>ELC_CCS_N_CAP!AF91/SUM(ELC_CCS_N_CAP!$AC$91:$AF$91)*$I$8</f>
        <v>-662.68806209514491</v>
      </c>
      <c r="I8" s="82">
        <f>ELC_CCS_N_CAP!AG91</f>
        <v>690.05883006317833</v>
      </c>
      <c r="J8" s="91">
        <f>I8</f>
        <v>690.05883006317833</v>
      </c>
    </row>
    <row r="9" spans="2:11">
      <c r="B9" s="91" t="s">
        <v>1038</v>
      </c>
      <c r="C9" s="91">
        <v>2020</v>
      </c>
      <c r="D9" s="91">
        <f>ELC_CCS_N_CAP!AC82/SUM(ELC_CCS_N_CAP!$AC$82:$AF$82)*$I$9</f>
        <v>468.24075082141616</v>
      </c>
      <c r="E9" s="91">
        <f>ELC_CCS_N_CAP!AD82/SUM(ELC_CCS_N_CAP!$AC$82:$AF$82)*$I$9</f>
        <v>159.08861529189357</v>
      </c>
      <c r="F9" s="91">
        <f>ELC_CCS_N_CAP!AE82/SUM(ELC_CCS_N_CAP!$AC$82:$AF$82)*$I$9</f>
        <v>780.40532783592266</v>
      </c>
      <c r="G9">
        <f>ELC_CCS_N_CAP!AF82/SUM(ELC_CCS_N_CAP!$AC$82:$AF$82)*$I$9</f>
        <v>-744.57193183678646</v>
      </c>
      <c r="I9" s="82">
        <f>ELC_CCS_N_CAP!AG82</f>
        <v>663.16276211244588</v>
      </c>
      <c r="J9" s="91">
        <f>I9</f>
        <v>663.16276211244588</v>
      </c>
    </row>
    <row r="10" spans="2:11">
      <c r="B10" t="s">
        <v>1039</v>
      </c>
      <c r="C10" s="91">
        <v>2020</v>
      </c>
      <c r="D10" s="91">
        <f>ELC_CCS_N_CAP!AC69/SUM(ELC_CCS_N_CAP!$AC69:$AF69)*$I10</f>
        <v>2588.4598446684849</v>
      </c>
      <c r="E10" s="91">
        <f>ELC_CCS_N_CAP!AD69/SUM(ELC_CCS_N_CAP!$AC69:$AF69)*$I10</f>
        <v>1359.5240847838863</v>
      </c>
      <c r="F10" s="91">
        <f>ELC_CCS_N_CAP!AE69/SUM(ELC_CCS_N_CAP!$AC69:$AF69)*$I10</f>
        <v>3593.5435372233587</v>
      </c>
      <c r="G10">
        <f>ELC_CCS_N_CAP!AF69/SUM(ELC_CCS_N_CAP!$AC69:$AF69)*$I10</f>
        <v>-5946.6618418018224</v>
      </c>
      <c r="I10" s="82">
        <f>ELC_CCS_N_CAP!AG69</f>
        <v>1594.8656248739071</v>
      </c>
      <c r="J10" s="91">
        <f>I10</f>
        <v>1594.8656248739071</v>
      </c>
    </row>
    <row r="11" spans="2:11">
      <c r="B11" t="s">
        <v>1043</v>
      </c>
      <c r="C11" s="91">
        <v>2020</v>
      </c>
      <c r="D11">
        <f>ELC_CCS_N_CAP!BC69/ELC_CCS_N_CAP!AC62*LCOCO2!D10</f>
        <v>812.29445575933005</v>
      </c>
      <c r="E11">
        <f>E10</f>
        <v>1359.5240847838863</v>
      </c>
      <c r="F11" s="91">
        <f>F10</f>
        <v>3593.5435372233587</v>
      </c>
      <c r="G11" s="91">
        <f>G10</f>
        <v>-5946.6618418018224</v>
      </c>
      <c r="H11">
        <f>ELC_CCS_N_CAP!BE69</f>
        <v>90.507728835145201</v>
      </c>
      <c r="I11" s="125">
        <f>SUM(D11:H11)</f>
        <v>-90.792035200102589</v>
      </c>
      <c r="J11">
        <f>I11</f>
        <v>-90.792035200102589</v>
      </c>
    </row>
    <row r="12" spans="2:11">
      <c r="B12" s="91" t="s">
        <v>1046</v>
      </c>
      <c r="C12" s="91">
        <v>2020</v>
      </c>
      <c r="D12">
        <f>IND_CCS!Y140/SUM(IND_CCS!$Y$140:$AA$140)*$I$12</f>
        <v>196.46426802293396</v>
      </c>
      <c r="E12" s="91">
        <f>IND_CCS!Z140/SUM(IND_CCS!$Y$140:$AA$140)*$I$12</f>
        <v>106.14035329485966</v>
      </c>
      <c r="F12" s="91">
        <f>IND_CCS!AA140/SUM(IND_CCS!$Y$140:$AA$140)*$I$12</f>
        <v>223.40963302172611</v>
      </c>
      <c r="G12" s="91">
        <f>IND_CCS!AB140/SUM(IND_CCS!$Y$140:$AA$140)*$I$12</f>
        <v>0</v>
      </c>
      <c r="I12" s="82">
        <f>IND_CCS!AC140</f>
        <v>526.01425433951977</v>
      </c>
      <c r="J12" s="82">
        <f>I12+K12*J8</f>
        <v>768.26894999999729</v>
      </c>
      <c r="K12" s="82">
        <f>330*0.1/94</f>
        <v>0.35106382978723405</v>
      </c>
    </row>
    <row r="13" spans="2:11">
      <c r="B13" s="91" t="s">
        <v>1047</v>
      </c>
      <c r="C13" s="91">
        <v>2020</v>
      </c>
      <c r="D13" s="91"/>
      <c r="E13" s="91"/>
      <c r="F13" s="91"/>
      <c r="G13" s="91"/>
      <c r="H13" s="91"/>
      <c r="I13" s="82"/>
    </row>
    <row r="14" spans="2:11">
      <c r="B14" s="91" t="s">
        <v>1036</v>
      </c>
      <c r="C14">
        <v>2030</v>
      </c>
      <c r="D14" s="82">
        <f>SUP_DAC!X10</f>
        <v>395.2300215921307</v>
      </c>
      <c r="E14" s="82">
        <f>SUP_DAC!Y10</f>
        <v>265.87959625090127</v>
      </c>
      <c r="F14" s="82">
        <f>SUP_DAC!Z10</f>
        <v>472.69880117312539</v>
      </c>
      <c r="G14" s="82">
        <f>SUP_DAC!AA10</f>
        <v>0</v>
      </c>
      <c r="I14" s="82">
        <f>SUP_DAC!AB10</f>
        <v>1133.8084190161574</v>
      </c>
      <c r="J14" s="91">
        <f>I14</f>
        <v>1133.8084190161574</v>
      </c>
    </row>
    <row r="15" spans="2:11">
      <c r="B15" s="91" t="s">
        <v>1037</v>
      </c>
      <c r="C15" s="91">
        <v>2030</v>
      </c>
      <c r="D15" s="91">
        <f>ELC_CCS_N_CAP!AC93/SUM(ELC_CCS_N_CAP!$AC$93:$AF$93)*$I$15</f>
        <v>267.59323332437395</v>
      </c>
      <c r="E15" s="91">
        <f>ELC_CCS_N_CAP!AD93/SUM(ELC_CCS_N_CAP!$AC$93:$AF$93)*$I$15</f>
        <v>104.50907208433492</v>
      </c>
      <c r="F15" s="91">
        <f>ELC_CCS_N_CAP!AE93/SUM(ELC_CCS_N_CAP!$AC$93:$AF$93)*$I$15</f>
        <v>994.59006158182058</v>
      </c>
      <c r="G15" s="91">
        <f>ELC_CCS_N_CAP!AF93/SUM(ELC_CCS_N_CAP!$AC$93:$AF$93)*$I$15</f>
        <v>-553.3472367584244</v>
      </c>
      <c r="I15" s="82">
        <f>ELC_CCS_N_CAP!AG93</f>
        <v>813.34513023210513</v>
      </c>
      <c r="J15" s="91">
        <f>I15</f>
        <v>813.34513023210513</v>
      </c>
    </row>
    <row r="16" spans="2:11">
      <c r="B16" s="91" t="s">
        <v>1038</v>
      </c>
      <c r="C16" s="91">
        <v>2030</v>
      </c>
      <c r="D16" s="91">
        <f>ELC_CCS_N_CAP!AC84/SUM(ELC_CCS_N_CAP!$AC$84:$AF$84)*$I$16</f>
        <v>434.79498290560065</v>
      </c>
      <c r="E16" s="91">
        <f>ELC_CCS_N_CAP!AD84/SUM(ELC_CCS_N_CAP!$AC$84:$AF$84)*$I$16</f>
        <v>147.72514277104403</v>
      </c>
      <c r="F16" s="91">
        <f>ELC_CCS_N_CAP!AE84/SUM(ELC_CCS_N_CAP!$AC$84:$AF$84)*$I$16</f>
        <v>1191.807790742316</v>
      </c>
      <c r="G16" s="91">
        <f>ELC_CCS_N_CAP!AF84/SUM(ELC_CCS_N_CAP!$AC$84:$AF$84)*$I$16</f>
        <v>-621.72060221995366</v>
      </c>
      <c r="I16" s="82">
        <f>ELC_CCS_N_CAP!AG84</f>
        <v>1152.6073141990069</v>
      </c>
      <c r="J16" s="91">
        <f>I16</f>
        <v>1152.6073141990069</v>
      </c>
    </row>
    <row r="17" spans="2:11">
      <c r="B17" s="91" t="s">
        <v>1039</v>
      </c>
      <c r="C17" s="91">
        <v>2030</v>
      </c>
      <c r="D17" s="91">
        <f>ELC_CCS_N_CAP!AC70/SUM(ELC_CCS_N_CAP!$AC70:$AF70)*$I17</f>
        <v>2354.1596001079747</v>
      </c>
      <c r="E17" s="91">
        <f>ELC_CCS_N_CAP!AD70/SUM(ELC_CCS_N_CAP!$AC70:$AF70)*$I17</f>
        <v>1220.0857171137443</v>
      </c>
      <c r="F17" s="91">
        <f>ELC_CCS_N_CAP!AE70/SUM(ELC_CCS_N_CAP!$AC70:$AF70)*$I17</f>
        <v>59.713869101801471</v>
      </c>
      <c r="G17" s="91">
        <f>ELC_CCS_N_CAP!AF70/SUM(ELC_CCS_N_CAP!$AC70:$AF70)*$I17</f>
        <v>-1497.0956505040951</v>
      </c>
      <c r="I17" s="82">
        <f>ELC_CCS_N_CAP!AG70</f>
        <v>2136.8635358194251</v>
      </c>
      <c r="J17" s="91">
        <f>I17</f>
        <v>2136.8635358194251</v>
      </c>
    </row>
    <row r="18" spans="2:11">
      <c r="B18" s="91" t="s">
        <v>1043</v>
      </c>
      <c r="C18" s="91">
        <v>2030</v>
      </c>
      <c r="D18" s="91">
        <f>ELC_CCS_N_CAP!BC70/ELC_CCS_N_CAP!AC63*LCOCO2!D17</f>
        <v>684.26056009579622</v>
      </c>
      <c r="E18" s="91">
        <f>E17</f>
        <v>1220.0857171137443</v>
      </c>
      <c r="F18" s="91">
        <f>F17</f>
        <v>59.713869101801471</v>
      </c>
      <c r="G18" s="91">
        <f>G17</f>
        <v>-1497.0956505040951</v>
      </c>
      <c r="H18" s="91">
        <f>ELC_CCS_N_CAP!BE70</f>
        <v>149.70956505040954</v>
      </c>
      <c r="I18" s="91">
        <f>SUM(D18:H18)</f>
        <v>616.67406085765629</v>
      </c>
      <c r="J18" s="91">
        <f>I18</f>
        <v>616.67406085765629</v>
      </c>
    </row>
    <row r="19" spans="2:11">
      <c r="B19" s="91" t="s">
        <v>1046</v>
      </c>
      <c r="C19" s="91">
        <v>2030</v>
      </c>
      <c r="D19" s="91">
        <f>IND_CCS!Y144/SUM(IND_CCS!$Y$140:$AB$140)*$I$19</f>
        <v>193.27002728963194</v>
      </c>
      <c r="E19" s="91">
        <f>IND_CCS!Z144/SUM(IND_CCS!$Y$140:$AB$140)*$I$19</f>
        <v>106.33655783523001</v>
      </c>
      <c r="F19">
        <f>IND_CCS!AA144/SUM(IND_CCS!$Y$140:$AB$140)*$I$19</f>
        <v>365.86026799002093</v>
      </c>
      <c r="G19" s="91">
        <f>IND_CCS!AB144/SUM(IND_CCS!$Y$140:$AB$140)*$I$19</f>
        <v>0</v>
      </c>
      <c r="I19" s="82">
        <f>IND_CCS!AC144</f>
        <v>591.64605173100904</v>
      </c>
      <c r="J19" s="82">
        <f>I19+K19*J15</f>
        <v>877.1821080890885</v>
      </c>
      <c r="K19" s="82">
        <f>330*0.1/94</f>
        <v>0.35106382978723405</v>
      </c>
    </row>
    <row r="20" spans="2:11">
      <c r="B20" s="91"/>
      <c r="C20" s="91"/>
      <c r="D20" s="91"/>
      <c r="E20" s="91"/>
      <c r="F20" s="91"/>
      <c r="G20" s="91"/>
      <c r="H20" s="91"/>
      <c r="I20" s="82"/>
    </row>
    <row r="21" spans="2:11">
      <c r="B21" t="s">
        <v>1036</v>
      </c>
      <c r="C21">
        <v>2050</v>
      </c>
      <c r="D21" s="82">
        <f>SUP_DAC!X14</f>
        <v>263.48668106142043</v>
      </c>
      <c r="E21" s="82">
        <f>SUP_DAC!Y14</f>
        <v>177.25306416726747</v>
      </c>
      <c r="F21" s="82">
        <f>SUP_DAC!Z14</f>
        <v>276.71596389090053</v>
      </c>
      <c r="G21" s="82">
        <f>SUP_DAC!AA14</f>
        <v>0</v>
      </c>
      <c r="I21" s="82">
        <f>SUP_DAC!AB14</f>
        <v>717.45570911958839</v>
      </c>
      <c r="J21" s="91">
        <f>I21</f>
        <v>717.45570911958839</v>
      </c>
    </row>
    <row r="22" spans="2:11">
      <c r="B22" s="91" t="s">
        <v>1037</v>
      </c>
      <c r="C22" s="91">
        <v>2050</v>
      </c>
      <c r="D22" s="91">
        <f>ELC_CCS_N_CAP!AC95/SUM(ELC_CCS_N_CAP!$AC$95:$AF$95)*$I$22</f>
        <v>267.59323332437395</v>
      </c>
      <c r="E22" s="91">
        <f>ELC_CCS_N_CAP!AD95/SUM(ELC_CCS_N_CAP!$AC$95:$AF$95)*$I$22</f>
        <v>104.50907208433492</v>
      </c>
      <c r="F22" s="91">
        <f>ELC_CCS_N_CAP!AE95/SUM(ELC_CCS_N_CAP!$AC$95:$AF$95)*$I$22</f>
        <v>1128.6893518013849</v>
      </c>
      <c r="G22" s="91">
        <f>ELC_CCS_N_CAP!AF95/SUM(ELC_CCS_N_CAP!$AC$95:$AF$95)*$I$22</f>
        <v>-401.6627535220934</v>
      </c>
      <c r="I22" s="82">
        <f>ELC_CCS_N_CAP!AG95</f>
        <v>1099.1289036880005</v>
      </c>
      <c r="J22" s="91">
        <f>I22</f>
        <v>1099.1289036880005</v>
      </c>
    </row>
    <row r="23" spans="2:11">
      <c r="B23" s="91" t="s">
        <v>1038</v>
      </c>
      <c r="C23" s="91">
        <v>2050</v>
      </c>
      <c r="D23" s="91">
        <f>ELC_CCS_N_CAP!AC86/SUM(ELC_CCS_N_CAP!$AC$86:$AF$86)*$I$16</f>
        <v>359.94316590406805</v>
      </c>
      <c r="E23" s="91">
        <f>ELC_CCS_N_CAP!AD86/SUM(ELC_CCS_N_CAP!$AC$86:$AF$86)*$I$16</f>
        <v>122.29362725692832</v>
      </c>
      <c r="F23" s="91">
        <f>ELC_CCS_N_CAP!AE86/SUM(ELC_CCS_N_CAP!$AC$86:$AF$86)*$I$16</f>
        <v>1064.1665801456556</v>
      </c>
      <c r="G23" s="91">
        <f>ELC_CCS_N_CAP!AF86/SUM(ELC_CCS_N_CAP!$AC$86:$AF$86)*$I$16</f>
        <v>-393.79605910764531</v>
      </c>
      <c r="I23" s="82">
        <f>ELC_CCS_N_CAP!AG86</f>
        <v>1320.8973842504611</v>
      </c>
      <c r="J23" s="91">
        <f>I23</f>
        <v>1320.8973842504611</v>
      </c>
    </row>
    <row r="24" spans="2:11">
      <c r="B24" s="91" t="s">
        <v>1039</v>
      </c>
      <c r="C24" s="91">
        <v>2050</v>
      </c>
      <c r="D24" s="91">
        <f>ELC_CCS_N_CAP!AC71/SUM(ELC_CCS_N_CAP!$AC71:$AF71)*$I24</f>
        <v>2175.6451280618721</v>
      </c>
      <c r="E24" s="91">
        <f>ELC_CCS_N_CAP!AD71/SUM(ELC_CCS_N_CAP!$AC71:$AF71)*$I24</f>
        <v>1080.6473494436018</v>
      </c>
      <c r="F24" s="91">
        <f>ELC_CCS_N_CAP!AE71/SUM(ELC_CCS_N_CAP!$AC71:$AF71)*$I24</f>
        <v>-747.41374551996796</v>
      </c>
      <c r="G24" s="91">
        <f>ELC_CCS_N_CAP!AF71/SUM(ELC_CCS_N_CAP!$AC71:$AF71)*$I24</f>
        <v>-1140.4521948300169</v>
      </c>
      <c r="I24" s="82">
        <f>ELC_CCS_N_CAP!AG71</f>
        <v>1368.4265371554895</v>
      </c>
      <c r="J24" s="91">
        <f>I24</f>
        <v>1368.4265371554895</v>
      </c>
    </row>
    <row r="25" spans="2:11">
      <c r="B25" s="91" t="s">
        <v>1043</v>
      </c>
      <c r="C25" s="91">
        <v>2050</v>
      </c>
      <c r="D25" s="91">
        <f>ELC_CCS_N_CAP!BC71/ELC_CCS_N_CAP!AC64*LCOCO2!D24</f>
        <v>671.28879592336398</v>
      </c>
      <c r="E25" s="91">
        <v>1359.5240847838863</v>
      </c>
      <c r="F25" s="91">
        <f>F24</f>
        <v>-747.41374551996796</v>
      </c>
      <c r="G25" s="91">
        <f>G24</f>
        <v>-1140.4521948300169</v>
      </c>
      <c r="H25" s="91">
        <f>ELC_CCS_N_CAP!BE71</f>
        <v>114.04521948300172</v>
      </c>
      <c r="I25" s="91">
        <f>SUM(D25:H25)</f>
        <v>256.99215984026716</v>
      </c>
      <c r="J25" s="91">
        <f>I25</f>
        <v>256.99215984026716</v>
      </c>
    </row>
    <row r="26" spans="2:11">
      <c r="B26" s="91" t="s">
        <v>1046</v>
      </c>
      <c r="C26" s="91">
        <v>2050</v>
      </c>
      <c r="D26" s="91">
        <f>IND_CCS!Y148/SUM(IND_CCS!$Y$148:$AB$148)*$I$26</f>
        <v>124.79140258275869</v>
      </c>
      <c r="E26" s="91">
        <f>IND_CCS!Z148/SUM(IND_CCS!$Y$148:$AB$148)*$I$26</f>
        <v>71.654702582631032</v>
      </c>
      <c r="F26" s="91">
        <f>IND_CCS!AA148/SUM(IND_CCS!$Y$148:$AB$148)*$I$26</f>
        <v>250.06311146779967</v>
      </c>
      <c r="G26">
        <f>IND_CCS!AB148/SUM(IND_CCS!$Y$148:$AB$148)*$I$26</f>
        <v>0</v>
      </c>
      <c r="I26" s="82">
        <f>IND_CCS!AC148</f>
        <v>446.5092166331894</v>
      </c>
      <c r="J26" s="82">
        <f>I26+K26*J21</f>
        <v>698.38196557942786</v>
      </c>
      <c r="K26" s="82">
        <f>330*0.1/94</f>
        <v>0.35106382978723405</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Ark2">
    <tabColor rgb="FF92D050"/>
  </sheetPr>
  <dimension ref="B2:I24"/>
  <sheetViews>
    <sheetView workbookViewId="0">
      <selection activeCell="D36" sqref="D36"/>
    </sheetView>
  </sheetViews>
  <sheetFormatPr defaultColWidth="7.44140625" defaultRowHeight="14.4"/>
  <cols>
    <col min="1" max="1" width="7.44140625" style="91"/>
    <col min="2" max="2" width="17.88671875" style="91" customWidth="1"/>
    <col min="3" max="3" width="22.44140625" style="91" bestFit="1" customWidth="1"/>
    <col min="4" max="4" width="58" style="91" bestFit="1" customWidth="1"/>
    <col min="5" max="9" width="17.88671875" style="91" customWidth="1"/>
    <col min="10" max="16384" width="7.44140625" style="91"/>
  </cols>
  <sheetData>
    <row r="2" spans="2:9">
      <c r="B2" s="26" t="s">
        <v>42</v>
      </c>
      <c r="C2" s="30"/>
      <c r="D2" s="30"/>
      <c r="E2" s="30"/>
      <c r="F2" s="30"/>
      <c r="G2" s="30"/>
      <c r="H2" s="30"/>
      <c r="I2" s="30"/>
    </row>
    <row r="3" spans="2:9">
      <c r="B3" s="31" t="s">
        <v>43</v>
      </c>
      <c r="C3" s="31" t="s">
        <v>44</v>
      </c>
      <c r="D3" s="31" t="s">
        <v>45</v>
      </c>
      <c r="E3" s="32" t="s">
        <v>46</v>
      </c>
      <c r="F3" s="32" t="s">
        <v>47</v>
      </c>
      <c r="G3" s="32" t="s">
        <v>48</v>
      </c>
      <c r="H3" s="32" t="s">
        <v>49</v>
      </c>
      <c r="I3" s="32" t="s">
        <v>50</v>
      </c>
    </row>
    <row r="4" spans="2:9" ht="29.4" thickBot="1">
      <c r="B4" s="142" t="s">
        <v>51</v>
      </c>
      <c r="C4" s="142" t="s">
        <v>52</v>
      </c>
      <c r="D4" s="142" t="s">
        <v>53</v>
      </c>
      <c r="E4" s="142" t="s">
        <v>46</v>
      </c>
      <c r="F4" s="142" t="s">
        <v>54</v>
      </c>
      <c r="G4" s="142" t="s">
        <v>55</v>
      </c>
      <c r="H4" s="142" t="s">
        <v>56</v>
      </c>
      <c r="I4" s="142" t="s">
        <v>57</v>
      </c>
    </row>
    <row r="5" spans="2:9">
      <c r="B5" s="91" t="s">
        <v>135</v>
      </c>
      <c r="C5" s="74" t="s">
        <v>347</v>
      </c>
      <c r="D5" s="51" t="str">
        <f>"Carbon storage unit "&amp;RIGHT(C5,3)</f>
        <v>Carbon storage unit DTS</v>
      </c>
      <c r="E5" s="143" t="s">
        <v>157</v>
      </c>
      <c r="F5" s="77" t="s">
        <v>344</v>
      </c>
      <c r="G5" s="77"/>
      <c r="H5" s="77"/>
      <c r="I5" s="77"/>
    </row>
    <row r="6" spans="2:9">
      <c r="C6" s="74" t="s">
        <v>348</v>
      </c>
      <c r="D6" s="51" t="str">
        <f t="shared" ref="D6:D11" si="0">"Carbon storage unit "&amp;RIGHT(C6,3)</f>
        <v>Carbon storage unit DGS</v>
      </c>
      <c r="E6" s="143" t="s">
        <v>157</v>
      </c>
      <c r="F6" s="77" t="s">
        <v>344</v>
      </c>
      <c r="G6" s="77"/>
      <c r="H6" s="77"/>
      <c r="I6" s="77"/>
    </row>
    <row r="7" spans="2:9">
      <c r="C7" s="74" t="s">
        <v>349</v>
      </c>
      <c r="D7" s="51" t="str">
        <f t="shared" si="0"/>
        <v>Carbon storage unit DGA</v>
      </c>
      <c r="E7" s="143" t="s">
        <v>157</v>
      </c>
      <c r="F7" s="77" t="s">
        <v>344</v>
      </c>
      <c r="G7" s="77"/>
      <c r="H7" s="77"/>
      <c r="I7" s="77"/>
    </row>
    <row r="8" spans="2:9">
      <c r="C8" s="74" t="s">
        <v>350</v>
      </c>
      <c r="D8" s="51" t="str">
        <f t="shared" si="0"/>
        <v>Carbon storage unit NSF</v>
      </c>
      <c r="E8" s="143" t="s">
        <v>157</v>
      </c>
      <c r="F8" s="77" t="s">
        <v>344</v>
      </c>
      <c r="G8" s="90"/>
      <c r="H8" s="90"/>
      <c r="I8" s="77"/>
    </row>
    <row r="9" spans="2:9">
      <c r="C9" s="74" t="s">
        <v>351</v>
      </c>
      <c r="D9" s="51" t="str">
        <f t="shared" si="0"/>
        <v>Carbon storage unit DZS</v>
      </c>
      <c r="E9" s="143" t="s">
        <v>157</v>
      </c>
      <c r="F9" s="77" t="s">
        <v>344</v>
      </c>
      <c r="G9" s="90"/>
      <c r="H9" s="90"/>
      <c r="I9" s="90"/>
    </row>
    <row r="10" spans="2:9">
      <c r="C10" s="74" t="s">
        <v>352</v>
      </c>
      <c r="D10" s="51" t="str">
        <f t="shared" si="0"/>
        <v>Carbon storage unit SAA</v>
      </c>
      <c r="E10" s="143" t="s">
        <v>157</v>
      </c>
      <c r="F10" s="77" t="s">
        <v>344</v>
      </c>
      <c r="G10" s="49"/>
      <c r="H10" s="49"/>
      <c r="I10" s="90"/>
    </row>
    <row r="11" spans="2:9">
      <c r="C11" s="74" t="s">
        <v>353</v>
      </c>
      <c r="D11" s="51" t="str">
        <f t="shared" si="0"/>
        <v>Carbon storage unit DHS</v>
      </c>
      <c r="E11" s="143" t="s">
        <v>157</v>
      </c>
      <c r="F11" s="77" t="s">
        <v>344</v>
      </c>
    </row>
    <row r="12" spans="2:9">
      <c r="C12" s="74" t="s">
        <v>354</v>
      </c>
      <c r="D12" s="51" t="s">
        <v>355</v>
      </c>
      <c r="E12" s="143" t="s">
        <v>157</v>
      </c>
      <c r="F12" s="77" t="s">
        <v>344</v>
      </c>
    </row>
    <row r="13" spans="2:9">
      <c r="C13" s="74" t="s">
        <v>769</v>
      </c>
      <c r="D13" s="51" t="s">
        <v>770</v>
      </c>
      <c r="E13" s="143" t="s">
        <v>157</v>
      </c>
      <c r="F13" s="77" t="s">
        <v>344</v>
      </c>
    </row>
    <row r="14" spans="2:9">
      <c r="B14" s="91" t="s">
        <v>608</v>
      </c>
      <c r="C14" s="74" t="s">
        <v>593</v>
      </c>
      <c r="D14" s="91" t="s">
        <v>589</v>
      </c>
      <c r="E14" s="143" t="s">
        <v>157</v>
      </c>
      <c r="F14" s="77" t="s">
        <v>344</v>
      </c>
    </row>
    <row r="15" spans="2:9">
      <c r="C15" s="74" t="s">
        <v>594</v>
      </c>
      <c r="D15" s="91" t="s">
        <v>590</v>
      </c>
      <c r="E15" s="143" t="s">
        <v>157</v>
      </c>
      <c r="F15" s="77" t="s">
        <v>344</v>
      </c>
    </row>
    <row r="16" spans="2:9">
      <c r="C16" s="74" t="s">
        <v>595</v>
      </c>
      <c r="D16" s="91" t="s">
        <v>591</v>
      </c>
      <c r="E16" s="143" t="s">
        <v>157</v>
      </c>
      <c r="F16" s="77" t="s">
        <v>344</v>
      </c>
    </row>
    <row r="17" spans="3:6">
      <c r="C17" s="74" t="s">
        <v>596</v>
      </c>
      <c r="D17" s="91" t="s">
        <v>592</v>
      </c>
      <c r="E17" s="143" t="s">
        <v>157</v>
      </c>
      <c r="F17" s="77" t="s">
        <v>344</v>
      </c>
    </row>
    <row r="18" spans="3:6">
      <c r="C18" s="74" t="s">
        <v>973</v>
      </c>
      <c r="D18" s="91" t="s">
        <v>974</v>
      </c>
      <c r="E18" s="143" t="s">
        <v>157</v>
      </c>
      <c r="F18" s="77" t="s">
        <v>344</v>
      </c>
    </row>
    <row r="19" spans="3:6">
      <c r="C19" s="74"/>
    </row>
    <row r="20" spans="3:6">
      <c r="C20" s="74"/>
    </row>
    <row r="21" spans="3:6">
      <c r="C21" s="74"/>
    </row>
    <row r="22" spans="3:6">
      <c r="C22" s="74"/>
    </row>
    <row r="23" spans="3:6">
      <c r="C23" s="74"/>
    </row>
    <row r="24" spans="3:6">
      <c r="C24" s="7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Ark3">
    <tabColor rgb="FF92D050"/>
  </sheetPr>
  <dimension ref="A3:T92"/>
  <sheetViews>
    <sheetView topLeftCell="A9" workbookViewId="0">
      <selection activeCell="B70" sqref="B70"/>
    </sheetView>
  </sheetViews>
  <sheetFormatPr defaultColWidth="7.44140625" defaultRowHeight="14.4"/>
  <cols>
    <col min="1" max="1" width="7.44140625" style="91"/>
    <col min="2" max="3" width="25.5546875" style="91" bestFit="1" customWidth="1"/>
    <col min="4" max="4" width="102.33203125" style="91" bestFit="1" customWidth="1"/>
    <col min="5" max="5" width="7.6640625" style="91" bestFit="1" customWidth="1"/>
    <col min="6" max="6" width="8.44140625" style="91" bestFit="1" customWidth="1"/>
    <col min="7" max="7" width="33.33203125" style="91" customWidth="1"/>
    <col min="8" max="8" width="17.6640625" style="91" customWidth="1"/>
    <col min="9" max="9" width="8.33203125" style="91" bestFit="1" customWidth="1"/>
    <col min="10" max="16384" width="7.44140625" style="91"/>
  </cols>
  <sheetData>
    <row r="3" spans="1:14">
      <c r="B3" s="26" t="s">
        <v>26</v>
      </c>
      <c r="C3" s="27"/>
      <c r="D3" s="27"/>
      <c r="E3" s="27"/>
      <c r="F3" s="27"/>
      <c r="G3" s="27"/>
      <c r="H3" s="27"/>
      <c r="I3" s="27"/>
    </row>
    <row r="4" spans="1:14">
      <c r="B4" s="28" t="s">
        <v>27</v>
      </c>
      <c r="C4" s="28" t="s">
        <v>1</v>
      </c>
      <c r="D4" s="28" t="s">
        <v>28</v>
      </c>
      <c r="E4" s="28" t="s">
        <v>29</v>
      </c>
      <c r="F4" s="28" t="s">
        <v>30</v>
      </c>
      <c r="G4" s="28" t="s">
        <v>31</v>
      </c>
      <c r="H4" s="28" t="s">
        <v>32</v>
      </c>
      <c r="I4" s="28" t="s">
        <v>33</v>
      </c>
    </row>
    <row r="5" spans="1:14" ht="28.8">
      <c r="B5" s="29" t="s">
        <v>34</v>
      </c>
      <c r="C5" s="29" t="s">
        <v>35</v>
      </c>
      <c r="D5" s="29" t="s">
        <v>36</v>
      </c>
      <c r="E5" s="29" t="s">
        <v>37</v>
      </c>
      <c r="F5" s="29" t="s">
        <v>38</v>
      </c>
      <c r="G5" s="29" t="s">
        <v>39</v>
      </c>
      <c r="H5" s="29" t="s">
        <v>40</v>
      </c>
      <c r="I5" s="29" t="s">
        <v>41</v>
      </c>
    </row>
    <row r="6" spans="1:14">
      <c r="B6" s="65" t="s">
        <v>191</v>
      </c>
      <c r="C6" s="75" t="str">
        <f>ELC_CCS_N_CAP!A5</f>
        <v>ECCCSCOAPOCN1</v>
      </c>
      <c r="D6" s="75" t="str">
        <f>ELC_CCS_N_CAP!B5</f>
        <v>01  Advanced Pulverized Fuel Power Plant - Coal centralised - With CCS Post-combustion</v>
      </c>
      <c r="E6" s="78" t="s">
        <v>188</v>
      </c>
      <c r="F6" s="79" t="s">
        <v>189</v>
      </c>
      <c r="G6" s="73"/>
      <c r="H6" s="73"/>
      <c r="I6" s="77" t="s">
        <v>192</v>
      </c>
    </row>
    <row r="7" spans="1:14">
      <c r="A7" s="72"/>
      <c r="B7" s="65"/>
      <c r="C7" s="75" t="str">
        <f>ELC_CCS_N_CAP!A11</f>
        <v>ECCCSCOAOXCN1</v>
      </c>
      <c r="D7" s="75" t="str">
        <f>ELC_CCS_N_CAP!B11</f>
        <v>01  Advanced Pulverized Fuel Power Plant - Coal centralised - With CCS Oxyfuel-combustion</v>
      </c>
      <c r="E7" s="78" t="s">
        <v>188</v>
      </c>
      <c r="F7" s="79" t="s">
        <v>189</v>
      </c>
      <c r="G7" s="73"/>
      <c r="H7" s="73"/>
      <c r="I7" s="77" t="s">
        <v>192</v>
      </c>
      <c r="J7" s="72"/>
      <c r="L7" s="72"/>
      <c r="M7" s="72"/>
      <c r="N7" s="72"/>
    </row>
    <row r="8" spans="1:14">
      <c r="A8" s="72"/>
      <c r="B8" s="65"/>
      <c r="C8" s="75" t="str">
        <f>ELC_CCS_N_CAP!A17</f>
        <v>ECCCSWPEPOCN1</v>
      </c>
      <c r="D8" s="75" t="str">
        <f>ELC_CCS_N_CAP!B17</f>
        <v>01  Advanced Pulverized Fuel Power Plant - Wood Pellets centralised - With CCS Post-combustion</v>
      </c>
      <c r="E8" s="78" t="s">
        <v>188</v>
      </c>
      <c r="F8" s="79" t="s">
        <v>189</v>
      </c>
      <c r="G8" s="73"/>
      <c r="H8" s="73"/>
      <c r="I8" s="77" t="s">
        <v>192</v>
      </c>
      <c r="J8" s="72"/>
      <c r="L8" s="72"/>
      <c r="M8" s="72"/>
      <c r="N8" s="72"/>
    </row>
    <row r="9" spans="1:14">
      <c r="A9" s="72"/>
      <c r="B9" s="65"/>
      <c r="C9" s="75" t="str">
        <f>ELC_CCS_N_CAP!A23</f>
        <v>ECCCSWPEOXCN1</v>
      </c>
      <c r="D9" s="75" t="str">
        <f>ELC_CCS_N_CAP!B23</f>
        <v>01  Advanced Pulverized Fuel Power Plant - Wood Pellets centralised - With CCS Oxyfuel-combustion</v>
      </c>
      <c r="E9" s="78" t="s">
        <v>188</v>
      </c>
      <c r="F9" s="79" t="s">
        <v>189</v>
      </c>
      <c r="G9" s="73"/>
      <c r="H9" s="73"/>
      <c r="I9" s="77" t="s">
        <v>192</v>
      </c>
      <c r="J9" s="72"/>
      <c r="L9" s="72"/>
      <c r="M9" s="72"/>
      <c r="N9" s="72"/>
    </row>
    <row r="10" spans="1:14">
      <c r="A10" s="72"/>
      <c r="B10" s="65"/>
      <c r="C10" s="75" t="str">
        <f>ELC_CCS_N_CAP!A29</f>
        <v>ECCCSNGAPOCN1</v>
      </c>
      <c r="D10" s="75" t="str">
        <f>ELC_CCS_N_CAP!B29</f>
        <v>05  Gas Turbine Combined Cycle - Steam Extraction centralised - With CCS Post-combustion</v>
      </c>
      <c r="E10" s="78" t="s">
        <v>188</v>
      </c>
      <c r="F10" s="79" t="s">
        <v>189</v>
      </c>
      <c r="G10" s="73"/>
      <c r="H10" s="73"/>
      <c r="I10" s="77" t="s">
        <v>192</v>
      </c>
      <c r="J10" s="72"/>
      <c r="L10" s="72"/>
      <c r="M10" s="72"/>
      <c r="N10" s="72"/>
    </row>
    <row r="11" spans="1:14">
      <c r="A11" s="72"/>
      <c r="B11" s="65"/>
      <c r="C11" s="75" t="str">
        <f>ELC_CCS_N_CAP!A35</f>
        <v>ECCCSNGAOXCN1</v>
      </c>
      <c r="D11" s="75" t="str">
        <f>ELC_CCS_N_CAP!B35</f>
        <v>05  Gas Turbine Combined Cycle - Steam Extraction centralised - With CCS Oxyfuel-combustion</v>
      </c>
      <c r="E11" s="78" t="s">
        <v>188</v>
      </c>
      <c r="F11" s="79" t="s">
        <v>189</v>
      </c>
      <c r="G11" s="73"/>
      <c r="H11" s="73"/>
      <c r="I11" s="77" t="s">
        <v>192</v>
      </c>
      <c r="J11" s="72"/>
      <c r="L11" s="72"/>
      <c r="M11" s="72"/>
      <c r="N11" s="72"/>
    </row>
    <row r="12" spans="1:14">
      <c r="A12" s="72"/>
      <c r="B12" s="65"/>
      <c r="C12" s="91" t="str">
        <f>ELC_CCS_N_CAP!A41</f>
        <v>ECCCSWCHPOCN1</v>
      </c>
      <c r="D12" s="91" t="str">
        <f>ELC_CCS_N_CAP!B41</f>
        <v>09  Biomass CHP, Steam Turbine - Woodchips Large with flue gas condensation centralised - With CCS Post-combustion</v>
      </c>
      <c r="E12" s="78" t="s">
        <v>188</v>
      </c>
      <c r="F12" s="79" t="s">
        <v>189</v>
      </c>
      <c r="G12" s="73"/>
      <c r="H12" s="73"/>
      <c r="I12" s="77" t="s">
        <v>192</v>
      </c>
      <c r="J12" s="72"/>
      <c r="L12" s="72"/>
      <c r="M12" s="72"/>
      <c r="N12" s="72"/>
    </row>
    <row r="13" spans="1:14">
      <c r="A13" s="72"/>
      <c r="B13" s="65"/>
      <c r="C13" s="91" t="str">
        <f>ELC_CCS_N_CAP!A47</f>
        <v>ECCCSSTROXCN1</v>
      </c>
      <c r="D13" s="91" t="str">
        <f>ELC_CCS_N_CAP!B47</f>
        <v>09  Biomass CHP, Steam Turbine - Straw Large with flue gas condensation centralised - With CCS Post-combustion</v>
      </c>
      <c r="E13" s="78" t="s">
        <v>188</v>
      </c>
      <c r="F13" s="79" t="s">
        <v>189</v>
      </c>
      <c r="G13" s="73"/>
      <c r="H13" s="73"/>
      <c r="I13" s="77" t="s">
        <v>192</v>
      </c>
      <c r="J13" s="72"/>
      <c r="L13" s="72"/>
      <c r="M13" s="72"/>
      <c r="N13" s="72"/>
    </row>
    <row r="14" spans="1:14">
      <c r="A14" s="72"/>
      <c r="B14" s="65"/>
      <c r="C14" s="91" t="str">
        <f>ELC_CCS_N_CAP!A53</f>
        <v>ECCCSWCHPOCN1</v>
      </c>
      <c r="D14" s="91" t="str">
        <f>ELC_CCS_N_CAP!B53</f>
        <v>09  Biomass CHP, Steam Turbine - Woodchips Large with flue gas condensation centralised - With CCS Oxyfuel-combustion</v>
      </c>
      <c r="E14" s="78" t="s">
        <v>188</v>
      </c>
      <c r="F14" s="79" t="s">
        <v>189</v>
      </c>
      <c r="G14" s="73"/>
      <c r="H14" s="73"/>
      <c r="I14" s="77" t="s">
        <v>192</v>
      </c>
      <c r="J14" s="72"/>
      <c r="L14" s="72"/>
      <c r="M14" s="72"/>
      <c r="N14" s="72"/>
    </row>
    <row r="15" spans="1:14">
      <c r="A15" s="72"/>
      <c r="B15" s="65"/>
      <c r="C15" s="91" t="str">
        <f>ELC_CCS_N_CAP!A59</f>
        <v>ECCCSSTROXCN1</v>
      </c>
      <c r="D15" s="91" t="str">
        <f>ELC_CCS_N_CAP!B59</f>
        <v>09  Biomass CHP, Steam Turbine - Straw Large with flue gas condensation centralised - With CCS Oxyfuel-combustion</v>
      </c>
      <c r="E15" s="78" t="s">
        <v>188</v>
      </c>
      <c r="F15" s="79" t="s">
        <v>189</v>
      </c>
      <c r="G15" s="73"/>
      <c r="H15" s="73"/>
      <c r="I15" s="77" t="s">
        <v>192</v>
      </c>
      <c r="J15" s="72"/>
      <c r="L15" s="72"/>
      <c r="M15" s="72"/>
      <c r="N15" s="72"/>
    </row>
    <row r="16" spans="1:14">
      <c r="A16" s="72"/>
      <c r="B16" s="65"/>
      <c r="C16" s="91" t="str">
        <f>ELC_CCS_N_CAP!A65</f>
        <v>ECCCSWSTPOCN1</v>
      </c>
      <c r="D16" s="91" t="str">
        <f>ELC_CCS_N_CAP!B65</f>
        <v>08  Waste-to-Energy CHP Plant centralised - Large - With CCS Post-combustion</v>
      </c>
      <c r="E16" s="78" t="s">
        <v>188</v>
      </c>
      <c r="F16" s="79" t="s">
        <v>189</v>
      </c>
      <c r="G16" s="73"/>
      <c r="H16" s="73"/>
      <c r="I16" s="77" t="s">
        <v>192</v>
      </c>
      <c r="J16" s="72"/>
      <c r="L16" s="72"/>
      <c r="M16" s="72"/>
      <c r="N16" s="72"/>
    </row>
    <row r="17" spans="1:20">
      <c r="A17" s="72"/>
      <c r="B17" s="65"/>
      <c r="C17" s="91" t="str">
        <f>ELC_CCS_N_CAP!A72</f>
        <v>ECCCSWSTOXCN1</v>
      </c>
      <c r="D17" s="91" t="str">
        <f>ELC_CCS_N_CAP!B72</f>
        <v>08  Waste-to-Energy CHP Plant centralised - Large - With CCS Oxyfuel-combustion</v>
      </c>
      <c r="E17" s="78" t="s">
        <v>188</v>
      </c>
      <c r="F17" s="79" t="s">
        <v>189</v>
      </c>
      <c r="G17" s="73"/>
      <c r="H17" s="73"/>
      <c r="I17" s="77" t="s">
        <v>192</v>
      </c>
      <c r="J17" s="72"/>
      <c r="L17" s="72"/>
      <c r="M17" s="72"/>
      <c r="N17" s="72"/>
    </row>
    <row r="18" spans="1:20">
      <c r="A18" s="72"/>
      <c r="B18" s="65" t="s">
        <v>201</v>
      </c>
      <c r="C18" s="91" t="str">
        <f>ELC_CCS_N_CAP!A79</f>
        <v>EHCCSWCHPOCN1</v>
      </c>
      <c r="D18" s="91" t="str">
        <f>ELC_CCS_N_CAP!B79</f>
        <v>43  District Heating Boiler, Biomass Fired - Wood Chips centralised - With CCS Post-combustion</v>
      </c>
      <c r="E18" s="78" t="s">
        <v>188</v>
      </c>
      <c r="F18" s="79" t="s">
        <v>189</v>
      </c>
      <c r="G18" s="73"/>
      <c r="H18" s="73"/>
      <c r="I18" s="77" t="s">
        <v>192</v>
      </c>
      <c r="O18" s="75"/>
      <c r="R18" s="72"/>
      <c r="S18" s="72"/>
      <c r="T18" s="72"/>
    </row>
    <row r="19" spans="1:20">
      <c r="A19" s="72"/>
      <c r="B19" s="65"/>
      <c r="C19" s="91" t="str">
        <f>ELC_CCS_N_CAP!A88</f>
        <v>EHCCSSTRPOCN1</v>
      </c>
      <c r="D19" s="91" t="str">
        <f>ELC_CCS_N_CAP!B88</f>
        <v>43  District Heating Boiler, Biomass Fired - Straw centralised - With CCS Post-combustion</v>
      </c>
      <c r="E19" s="78" t="s">
        <v>188</v>
      </c>
      <c r="F19" s="79" t="s">
        <v>189</v>
      </c>
      <c r="G19" s="73"/>
      <c r="H19" s="73"/>
      <c r="I19" s="77" t="s">
        <v>192</v>
      </c>
      <c r="O19" s="75"/>
      <c r="R19" s="72"/>
      <c r="S19" s="72"/>
      <c r="T19" s="72"/>
    </row>
    <row r="20" spans="1:20">
      <c r="A20" s="72"/>
      <c r="B20" s="65"/>
      <c r="C20" s="91" t="str">
        <f>ELC_CCS_N_CAP!A97</f>
        <v>EHCCSWPEPOCN1</v>
      </c>
      <c r="D20" s="91" t="str">
        <f>ELC_CCS_N_CAP!B97</f>
        <v>43XX  District Heating Boiler, Biomass Fired - wood pellets centralised - With CCS Post-combustion</v>
      </c>
      <c r="E20" s="78" t="s">
        <v>188</v>
      </c>
      <c r="F20" s="79" t="s">
        <v>189</v>
      </c>
      <c r="G20" s="73"/>
      <c r="H20" s="73"/>
      <c r="I20" s="77" t="s">
        <v>192</v>
      </c>
      <c r="J20" s="72"/>
      <c r="L20" s="72"/>
      <c r="M20" s="72"/>
      <c r="N20" s="72"/>
    </row>
    <row r="21" spans="1:20">
      <c r="A21" s="72"/>
      <c r="B21" s="65"/>
      <c r="C21" s="91" t="str">
        <f>ELC_CCS_N_CAP!A106</f>
        <v>EHCCSNGAPOCN1</v>
      </c>
      <c r="D21" s="91" t="str">
        <f>ELC_CCS_N_CAP!B106</f>
        <v>44  District Heating Boiler, Gas Fired centralised - With CCS Post-combustion</v>
      </c>
      <c r="E21" s="78" t="s">
        <v>188</v>
      </c>
      <c r="F21" s="79" t="s">
        <v>189</v>
      </c>
      <c r="G21" s="73"/>
      <c r="H21" s="73"/>
      <c r="I21" s="77" t="s">
        <v>192</v>
      </c>
      <c r="J21" s="72"/>
      <c r="L21" s="72"/>
      <c r="M21" s="72"/>
      <c r="N21" s="72"/>
    </row>
    <row r="22" spans="1:20">
      <c r="A22" s="72"/>
      <c r="B22" s="65"/>
      <c r="C22" s="91" t="str">
        <f>ELC_CCS_N_CAP!A115</f>
        <v>EHCCSWCHOXCN1</v>
      </c>
      <c r="D22" s="91" t="str">
        <f>ELC_CCS_N_CAP!B115</f>
        <v>43  District Heating Boiler, Biomass Fired - Wood Chips centralised - With CCS Oxyfuel-combustion</v>
      </c>
      <c r="E22" s="78" t="s">
        <v>188</v>
      </c>
      <c r="F22" s="79" t="s">
        <v>189</v>
      </c>
      <c r="G22" s="73"/>
      <c r="H22" s="73"/>
      <c r="I22" s="77" t="s">
        <v>192</v>
      </c>
      <c r="J22" s="72"/>
      <c r="L22" s="72"/>
      <c r="M22" s="72"/>
      <c r="N22" s="72"/>
    </row>
    <row r="23" spans="1:20">
      <c r="A23" s="72"/>
      <c r="B23" s="65"/>
      <c r="C23" s="91" t="str">
        <f>ELC_CCS_N_CAP!A124</f>
        <v>EHCCSSTROXCN1</v>
      </c>
      <c r="D23" s="91" t="str">
        <f>ELC_CCS_N_CAP!B124</f>
        <v>43  District Heating Boiler, Biomass Fired - Straw centralised - With CCS Oxyfuel-combustion</v>
      </c>
      <c r="E23" s="78" t="s">
        <v>188</v>
      </c>
      <c r="F23" s="79" t="s">
        <v>189</v>
      </c>
      <c r="G23" s="73"/>
      <c r="H23" s="73"/>
      <c r="I23" s="77" t="s">
        <v>192</v>
      </c>
      <c r="J23" s="72"/>
      <c r="L23" s="72"/>
      <c r="M23" s="72"/>
      <c r="N23" s="72"/>
    </row>
    <row r="24" spans="1:20">
      <c r="A24" s="72"/>
      <c r="B24" s="65"/>
      <c r="C24" s="91" t="str">
        <f>ELC_CCS_N_CAP!A133</f>
        <v>EHCCSWPEOXCN1</v>
      </c>
      <c r="D24" s="91" t="str">
        <f>ELC_CCS_N_CAP!B133</f>
        <v>43XX  District Heating Boiler, Biomass Fired - wood pellets centralised - With CCS Oxyfuel-combustion</v>
      </c>
      <c r="E24" s="78" t="s">
        <v>188</v>
      </c>
      <c r="F24" s="79" t="s">
        <v>189</v>
      </c>
      <c r="G24" s="73"/>
      <c r="H24" s="73"/>
      <c r="I24" s="77" t="s">
        <v>192</v>
      </c>
      <c r="J24" s="72"/>
      <c r="L24" s="72"/>
      <c r="M24" s="72"/>
      <c r="N24" s="72"/>
      <c r="P24" s="75"/>
      <c r="Q24" s="75"/>
    </row>
    <row r="25" spans="1:20">
      <c r="A25" s="72"/>
      <c r="B25" s="71"/>
      <c r="C25" s="48" t="str">
        <f>ELC_CCS_N_CAP!A142</f>
        <v>EHCCSNGAOXCN1</v>
      </c>
      <c r="D25" s="48" t="str">
        <f>ELC_CCS_N_CAP!B142</f>
        <v>44  District Heating Boiler, Gas Fired centralised - With CCS Oxyfuel-combustion</v>
      </c>
      <c r="E25" s="47" t="s">
        <v>188</v>
      </c>
      <c r="F25" s="47" t="s">
        <v>189</v>
      </c>
      <c r="G25" s="70"/>
      <c r="H25" s="70"/>
      <c r="I25" s="49" t="s">
        <v>192</v>
      </c>
      <c r="J25" s="72"/>
      <c r="L25" s="72"/>
      <c r="M25" s="72"/>
      <c r="N25" s="72"/>
      <c r="P25" s="75"/>
      <c r="Q25" s="75"/>
    </row>
    <row r="26" spans="1:20">
      <c r="B26" s="48" t="s">
        <v>785</v>
      </c>
      <c r="C26" s="196" t="str">
        <f>REFIT!A6</f>
        <v>INDHTCCSCOAR</v>
      </c>
      <c r="D26" s="48" t="str">
        <f>REFIT!B6</f>
        <v>Industrial heating technology Glass &amp; Concrete HT - Coal boiler - CO2 capture Retrofit</v>
      </c>
      <c r="E26" s="47" t="s">
        <v>188</v>
      </c>
      <c r="F26" s="47" t="s">
        <v>189</v>
      </c>
      <c r="G26" s="48"/>
      <c r="H26" s="48"/>
      <c r="I26" s="48"/>
    </row>
    <row r="27" spans="1:20">
      <c r="B27" s="91" t="s">
        <v>136</v>
      </c>
      <c r="C27" s="91" t="str">
        <f>SUP_DAC!B6</f>
        <v>SUPDACELC5N</v>
      </c>
      <c r="D27" s="91" t="str">
        <f>SUP_DAC!C6</f>
        <v>Direct air to Capturing CO2, electricity</v>
      </c>
      <c r="E27" s="78" t="s">
        <v>157</v>
      </c>
      <c r="F27" s="79" t="s">
        <v>318</v>
      </c>
    </row>
    <row r="28" spans="1:20">
      <c r="C28" s="91" t="str">
        <f>SUP_DAC!B16</f>
        <v>SUPDACELD5N</v>
      </c>
      <c r="D28" s="91" t="str">
        <f>SUP_DAC!C16</f>
        <v>Direct air to Capturing CO2, electricity</v>
      </c>
      <c r="E28" s="78" t="s">
        <v>157</v>
      </c>
      <c r="F28" s="79" t="s">
        <v>318</v>
      </c>
    </row>
    <row r="29" spans="1:20">
      <c r="B29" s="91" t="s">
        <v>136</v>
      </c>
      <c r="C29" s="74" t="str">
        <f>C76&amp;"CCS"</f>
        <v>INDGDHTGASN1CCS</v>
      </c>
      <c r="D29" s="91" t="str">
        <f>"Industrial heating technology Glass &amp; Concrete HT - "&amp;C29</f>
        <v>Industrial heating technology Glass &amp; Concrete HT - INDGDHTGASN1CCS</v>
      </c>
      <c r="E29" s="78" t="s">
        <v>188</v>
      </c>
      <c r="F29" s="79" t="s">
        <v>189</v>
      </c>
      <c r="M29" s="144" t="str">
        <f>'Data_Dist_&amp;_CAP'!E13</f>
        <v>DK1DTS</v>
      </c>
    </row>
    <row r="30" spans="1:20">
      <c r="C30" s="74" t="str">
        <f t="shared" ref="C30:C44" si="0">C77&amp;"CCS"</f>
        <v>INDGDMTGASN1CCS</v>
      </c>
      <c r="D30" s="91" t="str">
        <f t="shared" ref="D30:D44" si="1">"Industrial heating technology Glass &amp; Concrete HT - "&amp;C30</f>
        <v>Industrial heating technology Glass &amp; Concrete HT - INDGDMTGASN1CCS</v>
      </c>
      <c r="E30" s="78" t="s">
        <v>188</v>
      </c>
      <c r="F30" s="79" t="s">
        <v>189</v>
      </c>
      <c r="M30" s="144" t="str">
        <f>'Data_Dist_&amp;_CAP'!E14</f>
        <v>DK1DGS</v>
      </c>
    </row>
    <row r="31" spans="1:20">
      <c r="C31" s="74" t="str">
        <f t="shared" si="0"/>
        <v>INDGDRHGASN1CCS</v>
      </c>
      <c r="D31" s="91" t="str">
        <f t="shared" si="1"/>
        <v>Industrial heating technology Glass &amp; Concrete HT - INDGDRHGASN1CCS</v>
      </c>
      <c r="E31" s="78" t="s">
        <v>188</v>
      </c>
      <c r="F31" s="79" t="s">
        <v>189</v>
      </c>
      <c r="M31" s="144" t="str">
        <f>'Data_Dist_&amp;_CAP'!E15</f>
        <v>DK1DGA</v>
      </c>
    </row>
    <row r="32" spans="1:20">
      <c r="C32" s="74" t="str">
        <f t="shared" si="0"/>
        <v>INDGDMTGASN2CCS</v>
      </c>
      <c r="D32" s="91" t="str">
        <f t="shared" si="1"/>
        <v>Industrial heating technology Glass &amp; Concrete HT - INDGDMTGASN2CCS</v>
      </c>
      <c r="E32" s="78" t="s">
        <v>188</v>
      </c>
      <c r="F32" s="79" t="s">
        <v>189</v>
      </c>
      <c r="M32" s="144" t="str">
        <f>'Data_Dist_&amp;_CAP'!E16</f>
        <v>DK1NSF</v>
      </c>
    </row>
    <row r="33" spans="2:14">
      <c r="C33" s="74" t="str">
        <f t="shared" si="0"/>
        <v>INDGDRHGASN2CCS</v>
      </c>
      <c r="D33" s="91" t="str">
        <f t="shared" si="1"/>
        <v>Industrial heating technology Glass &amp; Concrete HT - INDGDRHGASN2CCS</v>
      </c>
      <c r="E33" s="78" t="s">
        <v>188</v>
      </c>
      <c r="F33" s="79" t="s">
        <v>189</v>
      </c>
      <c r="M33" s="144" t="str">
        <f>'Data_Dist_&amp;_CAP'!E17</f>
        <v>DK1DHF</v>
      </c>
    </row>
    <row r="34" spans="2:14">
      <c r="C34" s="74" t="str">
        <f t="shared" si="0"/>
        <v>INDGDMTGASN3CCS</v>
      </c>
      <c r="D34" s="91" t="str">
        <f t="shared" si="1"/>
        <v>Industrial heating technology Glass &amp; Concrete HT - INDGDMTGASN3CCS</v>
      </c>
      <c r="E34" s="78" t="s">
        <v>188</v>
      </c>
      <c r="F34" s="79" t="s">
        <v>189</v>
      </c>
      <c r="M34" s="144" t="str">
        <f>'Data_Dist_&amp;_CAP'!E18</f>
        <v>DK2DZS</v>
      </c>
    </row>
    <row r="35" spans="2:14">
      <c r="C35" s="74" t="str">
        <f t="shared" si="0"/>
        <v>INDGDRHGASN3CCS</v>
      </c>
      <c r="D35" s="91" t="str">
        <f t="shared" si="1"/>
        <v>Industrial heating technology Glass &amp; Concrete HT - INDGDRHGASN3CCS</v>
      </c>
      <c r="E35" s="78" t="s">
        <v>188</v>
      </c>
      <c r="F35" s="79" t="s">
        <v>189</v>
      </c>
      <c r="M35" s="144" t="str">
        <f>'Data_Dist_&amp;_CAP'!E18</f>
        <v>DK2DZS</v>
      </c>
    </row>
    <row r="36" spans="2:14">
      <c r="C36" s="74" t="str">
        <f t="shared" si="0"/>
        <v>INDGDMTGASN4CCS</v>
      </c>
      <c r="D36" s="91" t="str">
        <f t="shared" si="1"/>
        <v>Industrial heating technology Glass &amp; Concrete HT - INDGDMTGASN4CCS</v>
      </c>
      <c r="E36" s="78" t="s">
        <v>188</v>
      </c>
      <c r="F36" s="79" t="s">
        <v>189</v>
      </c>
      <c r="M36" s="144" t="str">
        <f>'Data_Dist_&amp;_CAP'!E19</f>
        <v>DK2NSF</v>
      </c>
    </row>
    <row r="37" spans="2:14" ht="17.399999999999999" customHeight="1">
      <c r="C37" s="74" t="str">
        <f t="shared" si="0"/>
        <v>INDGDRHGASN4CCS</v>
      </c>
      <c r="D37" s="91" t="str">
        <f t="shared" si="1"/>
        <v>Industrial heating technology Glass &amp; Concrete HT - INDGDRHGASN4CCS</v>
      </c>
      <c r="E37" s="78" t="s">
        <v>188</v>
      </c>
      <c r="F37" s="79" t="s">
        <v>189</v>
      </c>
      <c r="M37" s="144" t="str">
        <f>'Data_Dist_&amp;_CAP'!E20</f>
        <v>DK2SAA</v>
      </c>
    </row>
    <row r="38" spans="2:14" ht="17.399999999999999" customHeight="1">
      <c r="C38" s="74" t="str">
        <f t="shared" si="0"/>
        <v>INDGDHTGASN5CCS</v>
      </c>
      <c r="D38" s="91" t="str">
        <f t="shared" si="1"/>
        <v>Industrial heating technology Glass &amp; Concrete HT - INDGDHTGASN5CCS</v>
      </c>
      <c r="E38" s="78" t="s">
        <v>188</v>
      </c>
      <c r="F38" s="79" t="s">
        <v>189</v>
      </c>
      <c r="M38" s="144" t="str">
        <f>'Data_Dist_&amp;_CAP'!E21</f>
        <v>DK2DHF</v>
      </c>
    </row>
    <row r="39" spans="2:14">
      <c r="C39" s="74" t="str">
        <f t="shared" si="0"/>
        <v>INDGDMTGASN5CCS</v>
      </c>
      <c r="D39" s="91" t="str">
        <f t="shared" si="1"/>
        <v>Industrial heating technology Glass &amp; Concrete HT - INDGDMTGASN5CCS</v>
      </c>
      <c r="E39" s="78" t="s">
        <v>188</v>
      </c>
      <c r="F39" s="79" t="s">
        <v>189</v>
      </c>
      <c r="M39" s="144" t="str">
        <f>M29</f>
        <v>DK1DTS</v>
      </c>
    </row>
    <row r="40" spans="2:14">
      <c r="C40" s="74" t="str">
        <f t="shared" si="0"/>
        <v>INDGDHTCOAN1CCS</v>
      </c>
      <c r="D40" s="91" t="str">
        <f t="shared" si="1"/>
        <v>Industrial heating technology Glass &amp; Concrete HT - INDGDHTCOAN1CCS</v>
      </c>
      <c r="E40" s="78" t="s">
        <v>188</v>
      </c>
      <c r="F40" s="79" t="s">
        <v>189</v>
      </c>
      <c r="M40" s="144" t="str">
        <f>M30</f>
        <v>DK1DGS</v>
      </c>
    </row>
    <row r="41" spans="2:14">
      <c r="C41" s="74" t="str">
        <f t="shared" si="0"/>
        <v>INDGDMTCOAN1CCS</v>
      </c>
      <c r="D41" s="91" t="str">
        <f t="shared" si="1"/>
        <v>Industrial heating technology Glass &amp; Concrete HT - INDGDMTCOAN1CCS</v>
      </c>
      <c r="E41" s="78" t="s">
        <v>188</v>
      </c>
      <c r="F41" s="79" t="s">
        <v>189</v>
      </c>
      <c r="M41" s="144" t="str">
        <f>M31</f>
        <v>DK1DGA</v>
      </c>
    </row>
    <row r="42" spans="2:14">
      <c r="C42" s="74" t="str">
        <f t="shared" si="0"/>
        <v>INDGDRHCOAN1CCS</v>
      </c>
      <c r="D42" s="91" t="str">
        <f t="shared" si="1"/>
        <v>Industrial heating technology Glass &amp; Concrete HT - INDGDRHCOAN1CCS</v>
      </c>
      <c r="E42" s="78" t="s">
        <v>188</v>
      </c>
      <c r="F42" s="79" t="s">
        <v>189</v>
      </c>
      <c r="M42" s="144" t="str">
        <f>M32</f>
        <v>DK1NSF</v>
      </c>
    </row>
    <row r="43" spans="2:14">
      <c r="C43" s="74" t="str">
        <f t="shared" si="0"/>
        <v>INDGDMTCOAN2CCS</v>
      </c>
      <c r="D43" s="91" t="str">
        <f t="shared" si="1"/>
        <v>Industrial heating technology Glass &amp; Concrete HT - INDGDMTCOAN2CCS</v>
      </c>
      <c r="E43" s="78" t="s">
        <v>188</v>
      </c>
      <c r="F43" s="79" t="s">
        <v>189</v>
      </c>
      <c r="M43" s="144" t="str">
        <f>M33</f>
        <v>DK1DHF</v>
      </c>
    </row>
    <row r="44" spans="2:14">
      <c r="C44" s="74" t="str">
        <f t="shared" si="0"/>
        <v>INDGDRHCOAN2CCS</v>
      </c>
      <c r="D44" s="91" t="str">
        <f t="shared" si="1"/>
        <v>Industrial heating technology Glass &amp; Concrete HT - INDGDRHCOAN2CCS</v>
      </c>
      <c r="E44" s="78" t="s">
        <v>188</v>
      </c>
      <c r="F44" s="79" t="s">
        <v>189</v>
      </c>
      <c r="M44" s="144" t="str">
        <f>M35</f>
        <v>DK2DZS</v>
      </c>
    </row>
    <row r="45" spans="2:14">
      <c r="B45" s="89" t="s">
        <v>136</v>
      </c>
      <c r="C45" s="89" t="str">
        <f>"CSTRAP"&amp;M29</f>
        <v>CSTRAPDK1DTS</v>
      </c>
      <c r="D45" s="89" t="str">
        <f>"Transport technology by pipeline from "&amp;LEFT(M29,3)&amp;" to "&amp;RIGHT(M29,3)</f>
        <v>Transport technology by pipeline from DK1 to DTS</v>
      </c>
      <c r="E45" s="61" t="s">
        <v>157</v>
      </c>
      <c r="F45" s="61" t="s">
        <v>318</v>
      </c>
      <c r="G45" s="89"/>
      <c r="H45" s="89"/>
      <c r="I45" s="89"/>
      <c r="M45" s="144" t="str">
        <f>M36</f>
        <v>DK2NSF</v>
      </c>
    </row>
    <row r="46" spans="2:14">
      <c r="C46" s="91" t="str">
        <f t="shared" ref="C46:C48" si="2">"CSTRAP"&amp;M30</f>
        <v>CSTRAPDK1DGS</v>
      </c>
      <c r="D46" s="54" t="str">
        <f>"Transport technology by pipeline from "&amp;LEFT(M30,3)&amp;" to "&amp;RIGHT(M30,3)</f>
        <v>Transport technology by pipeline from DK1 to DGS</v>
      </c>
      <c r="E46" s="78" t="s">
        <v>157</v>
      </c>
      <c r="F46" s="79" t="s">
        <v>318</v>
      </c>
      <c r="M46" s="144" t="str">
        <f>M37</f>
        <v>DK2SAA</v>
      </c>
    </row>
    <row r="47" spans="2:14">
      <c r="C47" s="91" t="str">
        <f t="shared" si="2"/>
        <v>CSTRAPDK1DGA</v>
      </c>
      <c r="D47" s="54" t="str">
        <f t="shared" ref="D47:D48" si="3">"Transport technology by pipeline from "&amp;LEFT(M31,3)&amp;" to "&amp;RIGHT(M31,3)</f>
        <v>Transport technology by pipeline from DK1 to DGA</v>
      </c>
      <c r="E47" s="78" t="s">
        <v>157</v>
      </c>
      <c r="F47" s="79" t="s">
        <v>318</v>
      </c>
      <c r="M47" s="144" t="str">
        <f>M38</f>
        <v>DK2DHF</v>
      </c>
    </row>
    <row r="48" spans="2:14">
      <c r="C48" s="91" t="str">
        <f t="shared" si="2"/>
        <v>CSTRAPDK1NSF</v>
      </c>
      <c r="D48" s="54" t="str">
        <f t="shared" si="3"/>
        <v>Transport technology by pipeline from DK1 to NSF</v>
      </c>
      <c r="E48" s="78" t="s">
        <v>157</v>
      </c>
      <c r="F48" s="79" t="s">
        <v>318</v>
      </c>
      <c r="J48" s="72"/>
      <c r="L48" s="72"/>
      <c r="M48" s="72"/>
      <c r="N48" s="72"/>
    </row>
    <row r="49" spans="2:14">
      <c r="C49" s="91" t="str">
        <f t="shared" ref="C49" si="4">"CSTRAP"&amp;M33</f>
        <v>CSTRAPDK1DHF</v>
      </c>
      <c r="D49" s="54" t="str">
        <f t="shared" ref="D49" si="5">"Transport technology by pipeline from "&amp;LEFT(M33,3)&amp;" to "&amp;RIGHT(M33,3)</f>
        <v>Transport technology by pipeline from DK1 to DHF</v>
      </c>
      <c r="E49" s="78" t="s">
        <v>157</v>
      </c>
      <c r="F49" s="79" t="s">
        <v>318</v>
      </c>
      <c r="J49" s="72"/>
      <c r="L49" s="72"/>
      <c r="M49" s="72"/>
      <c r="N49" s="72"/>
    </row>
    <row r="50" spans="2:14">
      <c r="C50" s="91" t="str">
        <f t="shared" ref="C50" si="6">"CSTRAP"&amp;M34</f>
        <v>CSTRAPDK2DZS</v>
      </c>
      <c r="D50" s="54" t="str">
        <f t="shared" ref="D50" si="7">"Transport technology by pipeline from "&amp;LEFT(M34,3)&amp;" to "&amp;RIGHT(M34,3)</f>
        <v>Transport technology by pipeline from DK2 to DZS</v>
      </c>
      <c r="E50" s="78" t="s">
        <v>157</v>
      </c>
      <c r="F50" s="79" t="s">
        <v>318</v>
      </c>
      <c r="J50" s="72"/>
      <c r="L50" s="72"/>
      <c r="M50" s="72"/>
      <c r="N50" s="72"/>
    </row>
    <row r="51" spans="2:14">
      <c r="C51" s="91" t="str">
        <f t="shared" ref="C51:C63" si="8">"CSTRAP"&amp;M35</f>
        <v>CSTRAPDK2DZS</v>
      </c>
      <c r="D51" s="54" t="str">
        <f>"Transport technology by pipeline from "&amp;LEFT(M35,3)&amp;" to "&amp;RIGHT(M35,3)</f>
        <v>Transport technology by pipeline from DK2 to DZS</v>
      </c>
      <c r="E51" s="78" t="s">
        <v>157</v>
      </c>
      <c r="F51" s="79" t="s">
        <v>318</v>
      </c>
      <c r="J51" s="72"/>
      <c r="L51" s="72"/>
      <c r="M51" s="72"/>
      <c r="N51" s="72"/>
    </row>
    <row r="52" spans="2:14">
      <c r="C52" s="91" t="str">
        <f t="shared" si="8"/>
        <v>CSTRAPDK2NSF</v>
      </c>
      <c r="D52" s="54" t="str">
        <f>"Transport technology by pipeline from "&amp;LEFT(M36,3)&amp;" to "&amp;RIGHT(M36,3)</f>
        <v>Transport technology by pipeline from DK2 to NSF</v>
      </c>
      <c r="E52" s="78" t="s">
        <v>157</v>
      </c>
      <c r="F52" s="79" t="s">
        <v>318</v>
      </c>
      <c r="J52" s="72"/>
      <c r="L52" s="72"/>
      <c r="M52" s="72"/>
      <c r="N52" s="72"/>
    </row>
    <row r="53" spans="2:14">
      <c r="C53" s="91" t="str">
        <f t="shared" si="8"/>
        <v>CSTRAPDK2SAA</v>
      </c>
      <c r="D53" s="54" t="str">
        <f>"Transport technology by pipeline from "&amp;LEFT(M37,3)&amp;" to "&amp;RIGHT(M37,3)</f>
        <v>Transport technology by pipeline from DK2 to SAA</v>
      </c>
      <c r="E53" s="78" t="s">
        <v>157</v>
      </c>
      <c r="F53" s="79" t="s">
        <v>318</v>
      </c>
      <c r="J53" s="72"/>
      <c r="L53" s="72"/>
      <c r="M53" s="72"/>
      <c r="N53" s="72"/>
    </row>
    <row r="54" spans="2:14">
      <c r="C54" s="91" t="str">
        <f t="shared" si="8"/>
        <v>CSTRAPDK2DHF</v>
      </c>
      <c r="D54" s="54" t="str">
        <f>"Transport technology by pipeline from "&amp;LEFT(M38,3)&amp;" to "&amp;RIGHT(M38,3)</f>
        <v>Transport technology by pipeline from DK2 to DHF</v>
      </c>
      <c r="E54" s="78" t="s">
        <v>157</v>
      </c>
      <c r="F54" s="79" t="s">
        <v>318</v>
      </c>
      <c r="J54" s="72"/>
      <c r="L54" s="72"/>
      <c r="M54" s="72"/>
      <c r="N54" s="72"/>
    </row>
    <row r="55" spans="2:14">
      <c r="C55" s="91" t="str">
        <f t="shared" si="8"/>
        <v>CSTRAPDK1DTS</v>
      </c>
      <c r="D55" s="54" t="str">
        <f>"Transport technology by ship from "&amp;LEFT(M39,3)&amp;" to "&amp;RIGHT(M39,3)</f>
        <v>Transport technology by ship from DK1 to DTS</v>
      </c>
      <c r="E55" s="78" t="s">
        <v>157</v>
      </c>
      <c r="F55" s="79" t="s">
        <v>318</v>
      </c>
    </row>
    <row r="56" spans="2:14">
      <c r="C56" s="91" t="str">
        <f t="shared" si="8"/>
        <v>CSTRAPDK1DGS</v>
      </c>
      <c r="D56" s="54" t="str">
        <f t="shared" ref="D56:D62" si="9">"Transport technology by ship from "&amp;LEFT(M40,3)&amp;" to "&amp;RIGHT(M40,3)</f>
        <v>Transport technology by ship from DK1 to DGS</v>
      </c>
      <c r="E56" s="78" t="s">
        <v>157</v>
      </c>
      <c r="F56" s="79" t="s">
        <v>318</v>
      </c>
    </row>
    <row r="57" spans="2:14">
      <c r="C57" s="91" t="str">
        <f t="shared" si="8"/>
        <v>CSTRAPDK1DGA</v>
      </c>
      <c r="D57" s="54" t="str">
        <f t="shared" si="9"/>
        <v>Transport technology by ship from DK1 to DGA</v>
      </c>
      <c r="E57" s="78" t="s">
        <v>157</v>
      </c>
      <c r="F57" s="79" t="s">
        <v>318</v>
      </c>
    </row>
    <row r="58" spans="2:14">
      <c r="C58" s="91" t="str">
        <f t="shared" si="8"/>
        <v>CSTRAPDK1NSF</v>
      </c>
      <c r="D58" s="54" t="str">
        <f t="shared" si="9"/>
        <v>Transport technology by ship from DK1 to NSF</v>
      </c>
      <c r="E58" s="78" t="s">
        <v>157</v>
      </c>
      <c r="F58" s="79" t="s">
        <v>318</v>
      </c>
    </row>
    <row r="59" spans="2:14">
      <c r="C59" s="91" t="str">
        <f t="shared" si="8"/>
        <v>CSTRAPDK1DHF</v>
      </c>
      <c r="D59" s="54" t="str">
        <f t="shared" ref="D59" si="10">"Transport technology by ship from "&amp;LEFT(M43,3)&amp;" to "&amp;RIGHT(M43,3)</f>
        <v>Transport technology by ship from DK1 to DHF</v>
      </c>
      <c r="E59" s="78" t="s">
        <v>157</v>
      </c>
      <c r="F59" s="79" t="s">
        <v>318</v>
      </c>
    </row>
    <row r="60" spans="2:14">
      <c r="C60" s="91" t="str">
        <f t="shared" si="8"/>
        <v>CSTRAPDK2DZS</v>
      </c>
      <c r="D60" s="54" t="str">
        <f t="shared" si="9"/>
        <v>Transport technology by ship from DK2 to DZS</v>
      </c>
      <c r="E60" s="78" t="s">
        <v>157</v>
      </c>
      <c r="F60" s="79" t="s">
        <v>318</v>
      </c>
    </row>
    <row r="61" spans="2:14">
      <c r="C61" s="91" t="str">
        <f t="shared" si="8"/>
        <v>CSTRAPDK2NSF</v>
      </c>
      <c r="D61" s="54" t="str">
        <f t="shared" si="9"/>
        <v>Transport technology by ship from DK2 to NSF</v>
      </c>
      <c r="E61" s="78" t="s">
        <v>157</v>
      </c>
      <c r="F61" s="79" t="s">
        <v>318</v>
      </c>
    </row>
    <row r="62" spans="2:14">
      <c r="C62" s="91" t="str">
        <f t="shared" si="8"/>
        <v>CSTRAPDK2SAA</v>
      </c>
      <c r="D62" s="54" t="str">
        <f t="shared" si="9"/>
        <v>Transport technology by ship from DK2 to SAA</v>
      </c>
      <c r="E62" s="78" t="s">
        <v>157</v>
      </c>
      <c r="F62" s="79" t="s">
        <v>318</v>
      </c>
    </row>
    <row r="63" spans="2:14">
      <c r="C63" s="91" t="str">
        <f t="shared" si="8"/>
        <v>CSTRAPDK2DHF</v>
      </c>
      <c r="D63" s="54" t="str">
        <f t="shared" ref="D63" si="11">"Transport technology by ship from "&amp;LEFT(M47,3)&amp;" to "&amp;RIGHT(M47,3)</f>
        <v>Transport technology by ship from DK2 to DHF</v>
      </c>
      <c r="E63" s="78" t="s">
        <v>157</v>
      </c>
      <c r="F63" s="79" t="s">
        <v>318</v>
      </c>
    </row>
    <row r="64" spans="2:14">
      <c r="B64" s="88"/>
      <c r="C64" s="89" t="str">
        <f>ELC_CCS_STO!A5</f>
        <v>CSSTODTS</v>
      </c>
      <c r="D64" s="89" t="str">
        <f>ELC_CCS_STO!B5</f>
        <v>CO2 storage - Thisted structure</v>
      </c>
      <c r="E64" s="61" t="s">
        <v>157</v>
      </c>
      <c r="F64" s="61" t="s">
        <v>318</v>
      </c>
      <c r="G64" s="145"/>
      <c r="H64" s="145"/>
      <c r="I64" s="60"/>
    </row>
    <row r="65" spans="2:9">
      <c r="C65" s="54" t="str">
        <f>ELC_CCS_STO!A6</f>
        <v>CSSTODGS</v>
      </c>
      <c r="D65" s="54" t="str">
        <f>ELC_CCS_STO!B6</f>
        <v>CO2 storage - Gassum structure</v>
      </c>
      <c r="E65" s="91" t="s">
        <v>157</v>
      </c>
      <c r="F65" s="91" t="s">
        <v>318</v>
      </c>
    </row>
    <row r="66" spans="2:9">
      <c r="C66" s="54" t="str">
        <f>ELC_CCS_STO!A7</f>
        <v>CSSTODGA</v>
      </c>
      <c r="D66" s="54" t="str">
        <f>ELC_CCS_STO!B7</f>
        <v>CO2 storage - Gassum Aquifer</v>
      </c>
      <c r="E66" s="91" t="s">
        <v>157</v>
      </c>
      <c r="F66" s="91" t="s">
        <v>318</v>
      </c>
    </row>
    <row r="67" spans="2:9">
      <c r="C67" s="54" t="str">
        <f>ELC_CCS_STO!A8</f>
        <v>CSSTONSF</v>
      </c>
      <c r="D67" s="54" t="str">
        <f>ELC_CCS_STO!B8</f>
        <v>CO2 storage - Norway southern hydrocarbon fields</v>
      </c>
      <c r="E67" s="91" t="s">
        <v>157</v>
      </c>
      <c r="F67" s="91" t="s">
        <v>318</v>
      </c>
    </row>
    <row r="68" spans="2:9">
      <c r="C68" s="54" t="str">
        <f>ELC_CCS_STO!A9</f>
        <v>CSSTODZS</v>
      </c>
      <c r="D68" s="54" t="str">
        <f>ELC_CCS_STO!B9</f>
        <v>CO2 storage - Accumulated West/Southern Zealand (Havnsø, Stenlille, Rødby)</v>
      </c>
      <c r="E68" s="91" t="s">
        <v>157</v>
      </c>
      <c r="F68" s="91" t="s">
        <v>318</v>
      </c>
    </row>
    <row r="69" spans="2:9">
      <c r="C69" s="54" t="str">
        <f>ELC_CCS_STO!A10</f>
        <v>CSSTOSAA</v>
      </c>
      <c r="D69" s="54" t="str">
        <f>ELC_CCS_STO!B10</f>
        <v>CO2 storage - Anager Greensand + Höganäs - Rya storage unit</v>
      </c>
      <c r="E69" s="91" t="s">
        <v>157</v>
      </c>
      <c r="F69" s="91" t="s">
        <v>318</v>
      </c>
    </row>
    <row r="70" spans="2:9">
      <c r="B70" s="48"/>
      <c r="C70" s="48" t="str">
        <f>ELC_CCS_STO!A11</f>
        <v>CSSTODHS</v>
      </c>
      <c r="D70" s="48" t="str">
        <f>ELC_CCS_STO!B11</f>
        <v>CO2 storage - Danish Hydrocarbon fields</v>
      </c>
      <c r="E70" s="48" t="s">
        <v>157</v>
      </c>
      <c r="F70" s="48" t="s">
        <v>318</v>
      </c>
      <c r="G70" s="48"/>
      <c r="H70" s="48"/>
      <c r="I70" s="48"/>
    </row>
    <row r="71" spans="2:9">
      <c r="C71" s="91" t="s">
        <v>1049</v>
      </c>
      <c r="D71" s="91" t="s">
        <v>1050</v>
      </c>
      <c r="E71" s="91" t="s">
        <v>157</v>
      </c>
      <c r="F71" s="91" t="s">
        <v>318</v>
      </c>
    </row>
    <row r="72" spans="2:9">
      <c r="C72" s="91" t="s">
        <v>1052</v>
      </c>
      <c r="D72" s="91" t="s">
        <v>1053</v>
      </c>
      <c r="E72" s="91" t="s">
        <v>157</v>
      </c>
      <c r="F72" s="91" t="s">
        <v>318</v>
      </c>
    </row>
    <row r="73" spans="2:9">
      <c r="C73" s="91" t="s">
        <v>1054</v>
      </c>
      <c r="D73" s="91" t="s">
        <v>1055</v>
      </c>
      <c r="E73" s="91" t="s">
        <v>157</v>
      </c>
      <c r="F73" s="91" t="s">
        <v>318</v>
      </c>
    </row>
    <row r="76" spans="2:9">
      <c r="B76" s="91" t="s">
        <v>201</v>
      </c>
      <c r="C76" s="74" t="s">
        <v>872</v>
      </c>
      <c r="D76" s="91" t="str">
        <f>"Industrial heating technology Glass &amp; Concrete HT - "&amp;C76</f>
        <v>Industrial heating technology Glass &amp; Concrete HT - INDGDHTGASN1</v>
      </c>
      <c r="E76" s="78" t="s">
        <v>188</v>
      </c>
      <c r="F76" s="79" t="s">
        <v>189</v>
      </c>
    </row>
    <row r="77" spans="2:9">
      <c r="C77" s="74" t="s">
        <v>875</v>
      </c>
      <c r="D77" s="91" t="str">
        <f t="shared" ref="D77:D91" si="12">"Industrial heating technology Glass &amp; Concrete HT - "&amp;C77</f>
        <v>Industrial heating technology Glass &amp; Concrete HT - INDGDMTGASN1</v>
      </c>
      <c r="E77" s="78" t="s">
        <v>188</v>
      </c>
      <c r="F77" s="79" t="s">
        <v>189</v>
      </c>
    </row>
    <row r="78" spans="2:9">
      <c r="C78" s="91" t="s">
        <v>877</v>
      </c>
      <c r="D78" s="91" t="str">
        <f t="shared" si="12"/>
        <v>Industrial heating technology Glass &amp; Concrete HT - INDGDRHGASN1</v>
      </c>
      <c r="E78" s="78" t="s">
        <v>188</v>
      </c>
      <c r="F78" s="79" t="s">
        <v>189</v>
      </c>
    </row>
    <row r="79" spans="2:9">
      <c r="C79" s="91" t="s">
        <v>879</v>
      </c>
      <c r="D79" s="91" t="str">
        <f t="shared" si="12"/>
        <v>Industrial heating technology Glass &amp; Concrete HT - INDGDMTGASN2</v>
      </c>
      <c r="E79" s="78" t="s">
        <v>188</v>
      </c>
      <c r="F79" s="79" t="s">
        <v>189</v>
      </c>
    </row>
    <row r="80" spans="2:9">
      <c r="C80" s="91" t="s">
        <v>881</v>
      </c>
      <c r="D80" s="91" t="str">
        <f t="shared" si="12"/>
        <v>Industrial heating technology Glass &amp; Concrete HT - INDGDRHGASN2</v>
      </c>
      <c r="E80" s="78" t="s">
        <v>188</v>
      </c>
      <c r="F80" s="79" t="s">
        <v>189</v>
      </c>
    </row>
    <row r="81" spans="3:6">
      <c r="C81" s="91" t="s">
        <v>883</v>
      </c>
      <c r="D81" s="91" t="str">
        <f t="shared" si="12"/>
        <v>Industrial heating technology Glass &amp; Concrete HT - INDGDMTGASN3</v>
      </c>
      <c r="E81" s="78" t="s">
        <v>188</v>
      </c>
      <c r="F81" s="79" t="s">
        <v>189</v>
      </c>
    </row>
    <row r="82" spans="3:6">
      <c r="C82" s="91" t="s">
        <v>885</v>
      </c>
      <c r="D82" s="91" t="str">
        <f t="shared" si="12"/>
        <v>Industrial heating technology Glass &amp; Concrete HT - INDGDRHGASN3</v>
      </c>
      <c r="E82" s="78" t="s">
        <v>188</v>
      </c>
      <c r="F82" s="79" t="s">
        <v>189</v>
      </c>
    </row>
    <row r="83" spans="3:6">
      <c r="C83" s="91" t="s">
        <v>887</v>
      </c>
      <c r="D83" s="91" t="str">
        <f t="shared" si="12"/>
        <v>Industrial heating technology Glass &amp; Concrete HT - INDGDMTGASN4</v>
      </c>
      <c r="E83" s="78" t="s">
        <v>188</v>
      </c>
      <c r="F83" s="79" t="s">
        <v>189</v>
      </c>
    </row>
    <row r="84" spans="3:6">
      <c r="C84" s="91" t="s">
        <v>889</v>
      </c>
      <c r="D84" s="91" t="str">
        <f t="shared" si="12"/>
        <v>Industrial heating technology Glass &amp; Concrete HT - INDGDRHGASN4</v>
      </c>
      <c r="E84" s="78" t="s">
        <v>188</v>
      </c>
      <c r="F84" s="79" t="s">
        <v>189</v>
      </c>
    </row>
    <row r="85" spans="3:6">
      <c r="C85" s="91" t="s">
        <v>891</v>
      </c>
      <c r="D85" s="91" t="str">
        <f t="shared" si="12"/>
        <v>Industrial heating technology Glass &amp; Concrete HT - INDGDHTGASN5</v>
      </c>
      <c r="E85" s="78" t="s">
        <v>188</v>
      </c>
      <c r="F85" s="79" t="s">
        <v>189</v>
      </c>
    </row>
    <row r="86" spans="3:6">
      <c r="C86" s="91" t="s">
        <v>893</v>
      </c>
      <c r="D86" s="91" t="str">
        <f t="shared" si="12"/>
        <v>Industrial heating technology Glass &amp; Concrete HT - INDGDMTGASN5</v>
      </c>
      <c r="E86" s="78" t="s">
        <v>188</v>
      </c>
      <c r="F86" s="79" t="s">
        <v>189</v>
      </c>
    </row>
    <row r="87" spans="3:6">
      <c r="C87" s="91" t="s">
        <v>896</v>
      </c>
      <c r="D87" s="91" t="str">
        <f t="shared" si="12"/>
        <v>Industrial heating technology Glass &amp; Concrete HT - INDGDHTCOAN1</v>
      </c>
      <c r="E87" s="78" t="s">
        <v>188</v>
      </c>
      <c r="F87" s="79" t="s">
        <v>189</v>
      </c>
    </row>
    <row r="88" spans="3:6">
      <c r="C88" s="91" t="s">
        <v>898</v>
      </c>
      <c r="D88" s="91" t="str">
        <f t="shared" si="12"/>
        <v>Industrial heating technology Glass &amp; Concrete HT - INDGDMTCOAN1</v>
      </c>
      <c r="E88" s="78" t="s">
        <v>188</v>
      </c>
      <c r="F88" s="79" t="s">
        <v>189</v>
      </c>
    </row>
    <row r="89" spans="3:6">
      <c r="C89" s="91" t="s">
        <v>900</v>
      </c>
      <c r="D89" s="91" t="str">
        <f t="shared" si="12"/>
        <v>Industrial heating technology Glass &amp; Concrete HT - INDGDRHCOAN1</v>
      </c>
      <c r="E89" s="78" t="s">
        <v>188</v>
      </c>
      <c r="F89" s="79" t="s">
        <v>189</v>
      </c>
    </row>
    <row r="90" spans="3:6">
      <c r="C90" s="91" t="s">
        <v>902</v>
      </c>
      <c r="D90" s="91" t="str">
        <f t="shared" si="12"/>
        <v>Industrial heating technology Glass &amp; Concrete HT - INDGDMTCOAN2</v>
      </c>
      <c r="E90" s="78" t="s">
        <v>188</v>
      </c>
      <c r="F90" s="79" t="s">
        <v>189</v>
      </c>
    </row>
    <row r="91" spans="3:6">
      <c r="C91" s="91" t="s">
        <v>904</v>
      </c>
      <c r="D91" s="91" t="str">
        <f t="shared" si="12"/>
        <v>Industrial heating technology Glass &amp; Concrete HT - INDGDRHCOAN2</v>
      </c>
      <c r="E91" s="78" t="s">
        <v>188</v>
      </c>
      <c r="F91" s="79" t="s">
        <v>189</v>
      </c>
    </row>
    <row r="92" spans="3:6">
      <c r="E92" s="78" t="s">
        <v>188</v>
      </c>
      <c r="F92" s="79" t="s">
        <v>189</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sheetPr>
  <dimension ref="A1:BE204"/>
  <sheetViews>
    <sheetView zoomScale="70" zoomScaleNormal="70" zoomScalePageLayoutView="80" workbookViewId="0">
      <pane xSplit="2" ySplit="4" topLeftCell="X117" activePane="bottomRight" state="frozen"/>
      <selection activeCell="B41" sqref="B41"/>
      <selection pane="topRight" activeCell="B41" sqref="B41"/>
      <selection pane="bottomLeft" activeCell="B41" sqref="B41"/>
      <selection pane="bottomRight" activeCell="AG129" sqref="AG129"/>
    </sheetView>
  </sheetViews>
  <sheetFormatPr defaultColWidth="9.109375" defaultRowHeight="30.6" customHeight="1"/>
  <cols>
    <col min="1" max="1" width="30.33203125" style="74" bestFit="1" customWidth="1"/>
    <col min="2" max="2" width="110.88671875" style="74" bestFit="1" customWidth="1"/>
    <col min="3" max="3" width="46" style="74" customWidth="1"/>
    <col min="4" max="4" width="13.6640625" style="74" bestFit="1" customWidth="1"/>
    <col min="5" max="5" width="11.6640625" style="74" customWidth="1"/>
    <col min="6" max="6" width="31.5546875" style="74" bestFit="1" customWidth="1"/>
    <col min="7" max="7" width="10.6640625" style="74" customWidth="1"/>
    <col min="8" max="8" width="14" style="74" customWidth="1"/>
    <col min="9" max="9" width="12.44140625" style="74" customWidth="1"/>
    <col min="10" max="21" width="10.6640625" style="74" customWidth="1"/>
    <col min="22" max="36" width="9.109375" style="66" customWidth="1"/>
    <col min="37" max="40" width="9.109375" style="66"/>
    <col min="41" max="41" width="9.109375" style="66" customWidth="1"/>
    <col min="42" max="16384" width="9.109375" style="66"/>
  </cols>
  <sheetData>
    <row r="1" spans="1:57" ht="30.6" customHeight="1">
      <c r="G1" s="2" t="s">
        <v>0</v>
      </c>
      <c r="AC1" s="119">
        <v>0.04</v>
      </c>
      <c r="AD1" s="91"/>
      <c r="AE1" s="91"/>
      <c r="AF1" s="91"/>
      <c r="AG1" s="91"/>
      <c r="AL1" s="66" t="s">
        <v>299</v>
      </c>
    </row>
    <row r="2" spans="1:57" ht="30.6" customHeight="1">
      <c r="A2" s="3" t="s">
        <v>1</v>
      </c>
      <c r="B2" s="3" t="s">
        <v>2</v>
      </c>
      <c r="C2" s="3" t="s">
        <v>3</v>
      </c>
      <c r="D2" s="3" t="s">
        <v>59</v>
      </c>
      <c r="E2" s="4" t="s">
        <v>4</v>
      </c>
      <c r="F2" s="3" t="s">
        <v>184</v>
      </c>
      <c r="G2" s="3" t="s">
        <v>5</v>
      </c>
      <c r="H2" s="3" t="s">
        <v>6</v>
      </c>
      <c r="I2" s="3" t="s">
        <v>167</v>
      </c>
      <c r="J2" s="3" t="s">
        <v>7</v>
      </c>
      <c r="K2" s="3" t="s">
        <v>190</v>
      </c>
      <c r="L2" s="3" t="s">
        <v>168</v>
      </c>
      <c r="M2" s="3" t="s">
        <v>169</v>
      </c>
      <c r="N2" s="3" t="s">
        <v>170</v>
      </c>
      <c r="O2" s="3" t="s">
        <v>8</v>
      </c>
      <c r="P2" s="3" t="s">
        <v>9</v>
      </c>
      <c r="Q2" s="3" t="s">
        <v>10</v>
      </c>
      <c r="R2" s="3" t="s">
        <v>11</v>
      </c>
      <c r="S2" s="3" t="s">
        <v>12</v>
      </c>
      <c r="T2" s="3" t="s">
        <v>171</v>
      </c>
      <c r="U2" s="3" t="s">
        <v>19</v>
      </c>
      <c r="V2" s="3" t="s">
        <v>172</v>
      </c>
      <c r="W2" s="126"/>
      <c r="X2" s="126" t="str">
        <f>AW2</f>
        <v>EMISSIONS~ELCNOX</v>
      </c>
      <c r="Y2" s="126" t="str">
        <f t="shared" ref="X2:AA5" si="0">AX2</f>
        <v>EMISSIONS~ELCCH4</v>
      </c>
      <c r="Z2" s="126" t="str">
        <f t="shared" si="0"/>
        <v>EMISSIONS~ELCN2O</v>
      </c>
      <c r="AA2" s="126" t="str">
        <f t="shared" si="0"/>
        <v>EMISSIONS~ELCSO2</v>
      </c>
      <c r="AC2" s="91" t="s">
        <v>1028</v>
      </c>
      <c r="AD2" s="91"/>
      <c r="AE2" s="91"/>
      <c r="AF2" s="91"/>
      <c r="AG2" s="91"/>
      <c r="AK2" s="3" t="s">
        <v>7</v>
      </c>
      <c r="AL2" s="3" t="s">
        <v>8</v>
      </c>
      <c r="AM2" s="3" t="s">
        <v>9</v>
      </c>
      <c r="AN2" s="3" t="s">
        <v>10</v>
      </c>
      <c r="AO2" s="122" t="s">
        <v>302</v>
      </c>
      <c r="AP2" s="122" t="s">
        <v>168</v>
      </c>
      <c r="AQ2" s="122" t="s">
        <v>169</v>
      </c>
      <c r="AR2" s="3" t="s">
        <v>170</v>
      </c>
      <c r="AS2" s="122" t="s">
        <v>300</v>
      </c>
      <c r="AT2" s="122" t="s">
        <v>300</v>
      </c>
      <c r="AU2" s="3" t="s">
        <v>168</v>
      </c>
      <c r="AV2" s="3" t="s">
        <v>169</v>
      </c>
      <c r="AW2" s="126" t="s">
        <v>603</v>
      </c>
      <c r="AX2" s="126" t="s">
        <v>604</v>
      </c>
      <c r="AY2" s="126" t="s">
        <v>605</v>
      </c>
      <c r="AZ2" s="126" t="s">
        <v>606</v>
      </c>
      <c r="BA2" s="126" t="s">
        <v>607</v>
      </c>
      <c r="BD2" s="66">
        <v>7.45</v>
      </c>
      <c r="BE2" s="66" t="s">
        <v>218</v>
      </c>
    </row>
    <row r="3" spans="1:57" s="1" customFormat="1" ht="30.6" customHeight="1">
      <c r="A3" s="5" t="s">
        <v>13</v>
      </c>
      <c r="B3" s="5"/>
      <c r="C3" s="5" t="s">
        <v>67</v>
      </c>
      <c r="D3" s="5" t="s">
        <v>215</v>
      </c>
      <c r="E3" s="6" t="s">
        <v>68</v>
      </c>
      <c r="F3" s="5" t="s">
        <v>185</v>
      </c>
      <c r="G3" s="5"/>
      <c r="H3" s="5" t="s">
        <v>66</v>
      </c>
      <c r="I3" s="5" t="s">
        <v>173</v>
      </c>
      <c r="J3" s="5" t="s">
        <v>174</v>
      </c>
      <c r="K3" s="5" t="s">
        <v>187</v>
      </c>
      <c r="L3" s="5" t="s">
        <v>175</v>
      </c>
      <c r="M3" s="5" t="s">
        <v>175</v>
      </c>
      <c r="N3" s="5" t="s">
        <v>176</v>
      </c>
      <c r="O3" s="5" t="s">
        <v>63</v>
      </c>
      <c r="P3" s="5" t="s">
        <v>64</v>
      </c>
      <c r="Q3" s="5" t="s">
        <v>65</v>
      </c>
      <c r="R3" s="5" t="s">
        <v>60</v>
      </c>
      <c r="S3" s="5" t="s">
        <v>61</v>
      </c>
      <c r="T3" s="5" t="s">
        <v>177</v>
      </c>
      <c r="U3" s="5" t="s">
        <v>62</v>
      </c>
      <c r="V3" s="5" t="s">
        <v>178</v>
      </c>
      <c r="W3" s="157"/>
      <c r="X3" s="157" t="str">
        <f t="shared" si="0"/>
        <v>Emissions coeficient - activity based</v>
      </c>
      <c r="Y3" s="157" t="str">
        <f t="shared" si="0"/>
        <v>Emissions coeficient - activity based</v>
      </c>
      <c r="Z3" s="157" t="str">
        <f t="shared" si="0"/>
        <v>Emissions coeficient - activity based</v>
      </c>
      <c r="AA3" s="157" t="str">
        <f t="shared" si="0"/>
        <v>Emissions coeficient - activity based</v>
      </c>
      <c r="AC3" s="91" t="s">
        <v>1029</v>
      </c>
      <c r="AD3" s="91" t="s">
        <v>1030</v>
      </c>
      <c r="AE3" s="91" t="s">
        <v>1031</v>
      </c>
      <c r="AF3" s="91" t="s">
        <v>1032</v>
      </c>
      <c r="AG3" s="91" t="s">
        <v>1028</v>
      </c>
      <c r="AK3" s="5" t="s">
        <v>174</v>
      </c>
      <c r="AL3" s="5" t="s">
        <v>63</v>
      </c>
      <c r="AM3" s="5" t="s">
        <v>64</v>
      </c>
      <c r="AN3" s="5" t="s">
        <v>65</v>
      </c>
      <c r="AO3" s="5" t="s">
        <v>303</v>
      </c>
      <c r="AP3" s="5" t="s">
        <v>175</v>
      </c>
      <c r="AQ3" s="5" t="s">
        <v>175</v>
      </c>
      <c r="AR3" s="5" t="s">
        <v>176</v>
      </c>
      <c r="AS3" s="5" t="s">
        <v>301</v>
      </c>
      <c r="AT3" s="5" t="s">
        <v>301</v>
      </c>
      <c r="AU3" s="5" t="s">
        <v>175</v>
      </c>
      <c r="AV3" s="5" t="s">
        <v>175</v>
      </c>
      <c r="AW3" s="1" t="s">
        <v>587</v>
      </c>
      <c r="AX3" s="1" t="s">
        <v>587</v>
      </c>
      <c r="AY3" s="1" t="s">
        <v>587</v>
      </c>
      <c r="AZ3" s="1" t="s">
        <v>587</v>
      </c>
      <c r="BA3" s="1" t="s">
        <v>587</v>
      </c>
    </row>
    <row r="4" spans="1:57" ht="30.6" customHeight="1" thickBot="1">
      <c r="A4" s="165" t="s">
        <v>14</v>
      </c>
      <c r="B4" s="159"/>
      <c r="C4" s="159"/>
      <c r="D4" s="159"/>
      <c r="E4" s="160"/>
      <c r="F4" s="159"/>
      <c r="G4" s="159"/>
      <c r="H4" s="159"/>
      <c r="I4" s="159"/>
      <c r="J4" s="159"/>
      <c r="K4" s="159"/>
      <c r="L4" s="159"/>
      <c r="M4" s="159"/>
      <c r="N4" s="159"/>
      <c r="O4" s="159" t="s">
        <v>179</v>
      </c>
      <c r="P4" s="159" t="s">
        <v>179</v>
      </c>
      <c r="Q4" s="159" t="s">
        <v>180</v>
      </c>
      <c r="R4" s="159" t="s">
        <v>15</v>
      </c>
      <c r="S4" s="159" t="s">
        <v>15</v>
      </c>
      <c r="T4" s="159"/>
      <c r="U4" s="159" t="s">
        <v>16</v>
      </c>
      <c r="V4" s="159" t="s">
        <v>181</v>
      </c>
      <c r="W4" s="162"/>
      <c r="X4" s="162" t="str">
        <f t="shared" si="0"/>
        <v>ton/PJ</v>
      </c>
      <c r="Y4" s="162" t="str">
        <f t="shared" si="0"/>
        <v>ton/PJ</v>
      </c>
      <c r="Z4" s="162" t="str">
        <f t="shared" si="0"/>
        <v>ton/PJ</v>
      </c>
      <c r="AA4" s="162" t="str">
        <f t="shared" si="0"/>
        <v>ton/PJ</v>
      </c>
      <c r="AC4" s="91" t="s">
        <v>1033</v>
      </c>
      <c r="AD4" s="91" t="s">
        <v>1033</v>
      </c>
      <c r="AE4" s="91" t="s">
        <v>220</v>
      </c>
      <c r="AF4" s="91" t="s">
        <v>378</v>
      </c>
      <c r="AG4" s="91" t="s">
        <v>378</v>
      </c>
      <c r="AK4" s="159"/>
      <c r="AL4" s="159" t="s">
        <v>179</v>
      </c>
      <c r="AM4" s="159" t="s">
        <v>179</v>
      </c>
      <c r="AN4" s="159" t="s">
        <v>180</v>
      </c>
      <c r="AO4" s="178"/>
      <c r="AP4" s="159" t="s">
        <v>304</v>
      </c>
      <c r="AQ4" s="159" t="s">
        <v>304</v>
      </c>
      <c r="AR4" s="159"/>
      <c r="AS4" s="159" t="s">
        <v>304</v>
      </c>
      <c r="AT4" s="159" t="s">
        <v>305</v>
      </c>
      <c r="AU4" s="159" t="s">
        <v>305</v>
      </c>
      <c r="AV4" s="159" t="s">
        <v>305</v>
      </c>
      <c r="AW4" s="162" t="s">
        <v>588</v>
      </c>
      <c r="AX4" s="162" t="s">
        <v>588</v>
      </c>
      <c r="AY4" s="162" t="s">
        <v>588</v>
      </c>
      <c r="AZ4" s="162" t="s">
        <v>588</v>
      </c>
      <c r="BA4" s="162" t="s">
        <v>588</v>
      </c>
    </row>
    <row r="5" spans="1:57" ht="30.6" customHeight="1">
      <c r="A5" s="75" t="str">
        <f>"ECCCS"&amp;RIGHT(C5,3)&amp;"POCN1"</f>
        <v>ECCCSCOAPOCN1</v>
      </c>
      <c r="B5" s="75" t="s">
        <v>193</v>
      </c>
      <c r="C5" s="75" t="s">
        <v>18</v>
      </c>
      <c r="D5" s="75"/>
      <c r="E5" s="76" t="s">
        <v>17</v>
      </c>
      <c r="F5" s="76"/>
      <c r="G5" s="75">
        <v>2013</v>
      </c>
      <c r="H5" s="74">
        <v>2025</v>
      </c>
      <c r="I5" s="75"/>
      <c r="J5" s="67">
        <f>AK5-CCS!$L$51/100</f>
        <v>0.35000000000000003</v>
      </c>
      <c r="K5" s="67"/>
      <c r="L5" s="68" t="s">
        <v>25</v>
      </c>
      <c r="M5" s="68">
        <f>(AT5-J5)/J5</f>
        <v>1.2412698412698409</v>
      </c>
      <c r="N5" s="67">
        <v>0.15</v>
      </c>
      <c r="O5" s="69">
        <f>AL5+CCS!L$54/1000*7.45</f>
        <v>25.628</v>
      </c>
      <c r="P5" s="69">
        <f>O5*CCS!C$59/100</f>
        <v>0.64069999999999994</v>
      </c>
      <c r="Q5" s="69">
        <f>AN5+CCS!$L$60/3.6*7.45</f>
        <v>8.0708333333333329</v>
      </c>
      <c r="R5" s="68">
        <v>3.1536000000000002E-2</v>
      </c>
      <c r="S5" s="67">
        <v>0.95</v>
      </c>
      <c r="T5" s="68">
        <v>1</v>
      </c>
      <c r="U5" s="62">
        <v>40</v>
      </c>
      <c r="V5" s="69">
        <v>4</v>
      </c>
      <c r="W5" s="69"/>
      <c r="X5" s="69">
        <f t="shared" si="0"/>
        <v>38</v>
      </c>
      <c r="Y5" s="69">
        <f t="shared" si="0"/>
        <v>1.5</v>
      </c>
      <c r="Z5" s="69">
        <f t="shared" si="0"/>
        <v>0.8</v>
      </c>
      <c r="AA5" s="69">
        <f t="shared" si="0"/>
        <v>8.1</v>
      </c>
      <c r="AC5" s="82">
        <f>-1*PMT($AC$1,U5,O5*1000000)/R5*S5/1000000</f>
        <v>39.005428246638061</v>
      </c>
      <c r="AD5" s="82">
        <f>P5*1000000/R5*S5/1000000</f>
        <v>19.300640537798067</v>
      </c>
      <c r="AE5" s="91">
        <f>SUMIFS('DMS marginal prices'!$G$8:$G$70,'DMS marginal prices'!$F$8:$F$70,G5,'DMS marginal prices'!$D$8:$D$70,C5)/J5</f>
        <v>0</v>
      </c>
      <c r="AF5" s="91">
        <f>SUMIFS('DMS marginal prices'!$G$8:$G$70,'DMS marginal prices'!$F$8:$F$70,G5,'DMS marginal prices'!$D$8:$D$70,"SUPELC")*0.7+SUMIFS('DMS marginal prices'!$G$8:$G$70,'DMS marginal prices'!$F$8:$F$70,G6,'DMS marginal prices'!$D$8:$D$70,E6)*M5</f>
        <v>0</v>
      </c>
      <c r="AG5" s="82">
        <f>SUM(AC5:AF7)*1000/K7</f>
        <v>708.44048485378403</v>
      </c>
      <c r="AK5" s="67">
        <v>0.46</v>
      </c>
      <c r="AL5" s="69">
        <v>15.198</v>
      </c>
      <c r="AM5" s="69">
        <v>0.42614000000000002</v>
      </c>
      <c r="AN5" s="69">
        <v>4.1388888888888893</v>
      </c>
      <c r="AO5" s="67">
        <v>0.75</v>
      </c>
      <c r="AP5" s="68" t="s">
        <v>25</v>
      </c>
      <c r="AQ5" s="68">
        <f>1/AO5</f>
        <v>1.3333333333333333</v>
      </c>
      <c r="AR5" s="67">
        <v>0.15</v>
      </c>
      <c r="AS5" s="66">
        <f>(AK5+AK5*AQ5)/(1+AQ5*AR5)</f>
        <v>0.89444444444444438</v>
      </c>
      <c r="AT5" s="46">
        <f>AS5-AK5+J5</f>
        <v>0.78444444444444439</v>
      </c>
      <c r="AV5" s="46">
        <f>($AT5-$J5)/($J5-($AT5)*$N5)</f>
        <v>1.8699186991869909</v>
      </c>
      <c r="AW5" s="66">
        <v>38</v>
      </c>
      <c r="AX5" s="66">
        <v>1.5</v>
      </c>
      <c r="AY5" s="66">
        <v>0.8</v>
      </c>
      <c r="AZ5" s="66">
        <v>8.1</v>
      </c>
    </row>
    <row r="6" spans="1:57" ht="30.6" customHeight="1">
      <c r="C6" s="75"/>
      <c r="D6" s="75"/>
      <c r="E6" s="195" t="s">
        <v>601</v>
      </c>
      <c r="F6" s="76"/>
      <c r="G6" s="74">
        <v>2013</v>
      </c>
      <c r="H6" s="75"/>
      <c r="I6" s="75"/>
      <c r="V6" s="69"/>
      <c r="W6" s="69"/>
      <c r="X6" s="69"/>
      <c r="Y6" s="69"/>
      <c r="Z6" s="69"/>
      <c r="AA6" s="69"/>
      <c r="AC6" s="91"/>
      <c r="AD6" s="91"/>
      <c r="AF6" s="91"/>
      <c r="AG6" s="91"/>
      <c r="AQ6" s="74"/>
      <c r="AR6" s="74"/>
      <c r="AS6" s="67"/>
    </row>
    <row r="7" spans="1:57" ht="30.6" customHeight="1">
      <c r="A7" s="75"/>
      <c r="B7" s="75"/>
      <c r="C7" s="75"/>
      <c r="D7" s="75"/>
      <c r="E7" s="76"/>
      <c r="F7" s="74" t="str">
        <f>ELC_CCS_Comm!$C$15</f>
        <v>CO2FOSE</v>
      </c>
      <c r="G7" s="74">
        <v>2013</v>
      </c>
      <c r="H7" s="75"/>
      <c r="I7" s="75"/>
      <c r="K7" s="74">
        <f>Emissions!C11*CCS!$C$52/100</f>
        <v>82.301999999999992</v>
      </c>
      <c r="V7" s="69"/>
      <c r="W7" s="69"/>
      <c r="X7" s="69"/>
      <c r="Y7" s="69"/>
      <c r="Z7" s="69"/>
      <c r="AA7" s="69"/>
      <c r="AC7" s="82"/>
      <c r="AD7" s="82"/>
      <c r="AE7" s="91"/>
      <c r="AF7" s="91"/>
      <c r="AG7" s="82"/>
      <c r="AQ7" s="74"/>
      <c r="AR7" s="74"/>
      <c r="AS7" s="67"/>
      <c r="AT7" s="80"/>
    </row>
    <row r="8" spans="1:57" ht="30.6" customHeight="1">
      <c r="A8" s="75"/>
      <c r="B8" s="75"/>
      <c r="C8" s="75"/>
      <c r="D8" s="75"/>
      <c r="E8" s="76"/>
      <c r="F8" s="76"/>
      <c r="G8" s="75">
        <v>2020</v>
      </c>
      <c r="H8" s="75"/>
      <c r="I8" s="75"/>
      <c r="J8" s="67">
        <f>AK8-CCS!$M$51/100</f>
        <v>0.375</v>
      </c>
      <c r="L8" s="68" t="s">
        <v>25</v>
      </c>
      <c r="M8" s="68">
        <f>(AT8-J8)/J8</f>
        <v>1.1104377104377106</v>
      </c>
      <c r="N8" s="67">
        <v>0.15</v>
      </c>
      <c r="O8" s="69">
        <f>AL8+CCS!M$54/1000*7.45</f>
        <v>23.3185</v>
      </c>
      <c r="P8" s="69">
        <f>O8*CCS!D$59/100</f>
        <v>0.58296250000000005</v>
      </c>
      <c r="Q8" s="69">
        <f>AN8+CCS!$M$60/3.6*7.45</f>
        <v>8.4847222222222225</v>
      </c>
      <c r="R8" s="68"/>
      <c r="S8" s="68"/>
      <c r="T8" s="68"/>
      <c r="U8" s="63"/>
      <c r="V8" s="69"/>
      <c r="W8" s="69"/>
      <c r="X8" s="69">
        <f t="shared" ref="X8:AA11" si="1">AW8</f>
        <v>35</v>
      </c>
      <c r="Y8" s="69">
        <f t="shared" si="1"/>
        <v>1.5</v>
      </c>
      <c r="Z8" s="69">
        <f t="shared" si="1"/>
        <v>0.8</v>
      </c>
      <c r="AA8" s="69">
        <f t="shared" si="1"/>
        <v>8.1</v>
      </c>
      <c r="AC8" s="82">
        <f>-1*PMT($AC$1,U5,O8*1000000)/R5*S5/1000000</f>
        <v>35.490404189528242</v>
      </c>
      <c r="AD8" s="82">
        <f>P8*1000000/R5*S5/1000000</f>
        <v>17.561338628868594</v>
      </c>
      <c r="AE8" s="91">
        <f>SUMIFS('DMS marginal prices'!$G$8:$G$70,'DMS marginal prices'!$F$8:$F$70,G8,'DMS marginal prices'!$D$8:$D$70,C5)/J8</f>
        <v>0</v>
      </c>
      <c r="AF8" s="91">
        <f>-1*(SUMIFS('DMS marginal prices'!$G$8:$G$70,'DMS marginal prices'!$F$8:$F$70,G8,'DMS marginal prices'!$D$8:$D$70,"SUPELC")*0.7+SUMIFS('DMS marginal prices'!$G$8:$G$70,'DMS marginal prices'!$F$8:$F$70,G8,'DMS marginal prices'!$D$8:$D$70,E6)*M8)</f>
        <v>-110.98309099705088</v>
      </c>
      <c r="AG8" s="82">
        <f>SUM(AC8:AF8)*1000/K7</f>
        <v>-703.88748971658106</v>
      </c>
      <c r="AK8" s="67">
        <v>0.48499999999999999</v>
      </c>
      <c r="AL8" s="69">
        <v>15.123499999999998</v>
      </c>
      <c r="AM8" s="69">
        <v>0.45891999999999999</v>
      </c>
      <c r="AN8" s="69">
        <v>4.552777777777778</v>
      </c>
      <c r="AO8" s="67">
        <v>0.84</v>
      </c>
      <c r="AP8" s="67"/>
      <c r="AQ8" s="68">
        <f>1/AO8</f>
        <v>1.1904761904761905</v>
      </c>
      <c r="AR8" s="67">
        <v>0.15</v>
      </c>
      <c r="AS8" s="66">
        <f>(AK8+AK8*AQ8)/(1+AQ8*AR8)</f>
        <v>0.90141414141414145</v>
      </c>
      <c r="AT8" s="46">
        <f>AS8-AK8+J8</f>
        <v>0.79141414141414146</v>
      </c>
      <c r="AV8" s="46">
        <f>($AT8-$J8)/($J8-($AT8)*$N8)</f>
        <v>1.6247906197654942</v>
      </c>
      <c r="AW8" s="66">
        <v>35</v>
      </c>
      <c r="AX8" s="66">
        <v>1.5</v>
      </c>
      <c r="AY8" s="66">
        <v>0.8</v>
      </c>
      <c r="AZ8" s="66">
        <v>8.1</v>
      </c>
    </row>
    <row r="9" spans="1:57" ht="30.6" customHeight="1">
      <c r="A9" s="75"/>
      <c r="B9" s="75"/>
      <c r="C9" s="75"/>
      <c r="D9" s="75"/>
      <c r="E9" s="75"/>
      <c r="F9" s="75"/>
      <c r="G9" s="75">
        <v>2030</v>
      </c>
      <c r="H9" s="75"/>
      <c r="I9" s="75"/>
      <c r="J9" s="67">
        <f>AK9-CCS!$N$51/100</f>
        <v>0.42000000000000004</v>
      </c>
      <c r="L9" s="68" t="s">
        <v>25</v>
      </c>
      <c r="M9" s="68">
        <f>(AT9-J9)/J9</f>
        <v>0.90722495894909694</v>
      </c>
      <c r="N9" s="67">
        <v>0.15</v>
      </c>
      <c r="O9" s="69">
        <f>AL9+CCS!N$54/1000*7.45</f>
        <v>21.902999999999999</v>
      </c>
      <c r="P9" s="69">
        <f>O9*CCS!E$59/100</f>
        <v>0.54757499999999992</v>
      </c>
      <c r="Q9" s="69">
        <f>AN9+CCS!$N$60/3.6*7.45</f>
        <v>8.4847222222222225</v>
      </c>
      <c r="R9" s="68"/>
      <c r="S9" s="68"/>
      <c r="T9" s="68"/>
      <c r="U9" s="63"/>
      <c r="V9" s="75"/>
      <c r="W9" s="75"/>
      <c r="X9" s="69">
        <f t="shared" si="1"/>
        <v>35</v>
      </c>
      <c r="Y9" s="69">
        <f t="shared" si="1"/>
        <v>1.5</v>
      </c>
      <c r="Z9" s="69">
        <f t="shared" si="1"/>
        <v>0.8</v>
      </c>
      <c r="AA9" s="69">
        <f t="shared" si="1"/>
        <v>8.1</v>
      </c>
      <c r="AB9" s="75"/>
      <c r="AC9" s="82">
        <f>-1*PMT($AC$1,U5,O9*1000000)/R5*S5/1000000</f>
        <v>33.336034606138355</v>
      </c>
      <c r="AD9" s="82">
        <f>P9*1000000/R5*S5/1000000</f>
        <v>16.495314878234396</v>
      </c>
      <c r="AE9" s="91">
        <f>SUMIFS('DMS marginal prices'!$G$8:$G$70,'DMS marginal prices'!$F$8:$F$70,G9,'DMS marginal prices'!$D$8:$D$70,C5)/J9</f>
        <v>0</v>
      </c>
      <c r="AF9" s="91">
        <f>-1*(SUMIFS('DMS marginal prices'!$G$8:$G$70,'DMS marginal prices'!$F$8:$F$70,G9,'DMS marginal prices'!$D$8:$D$70,"SUPELC")*0.7+SUMIFS('DMS marginal prices'!$G$8:$G$70,'DMS marginal prices'!$F$8:$F$70,G9,'DMS marginal prices'!$D$8:$D$70,E6)*M9)</f>
        <v>-135.95817308349604</v>
      </c>
      <c r="AG9" s="82">
        <f>SUM(AC9:AF9)*1000/K7</f>
        <v>-1046.473033451475</v>
      </c>
      <c r="AH9" s="75"/>
      <c r="AI9" s="75"/>
      <c r="AJ9" s="75"/>
      <c r="AK9" s="67">
        <v>0.52</v>
      </c>
      <c r="AL9" s="69">
        <v>14.8255</v>
      </c>
      <c r="AM9" s="69">
        <v>0.45891999999999999</v>
      </c>
      <c r="AN9" s="69">
        <v>4.552777777777778</v>
      </c>
      <c r="AO9" s="67">
        <v>1.01</v>
      </c>
      <c r="AP9" s="67"/>
      <c r="AQ9" s="68">
        <f>1/AO9</f>
        <v>0.99009900990099009</v>
      </c>
      <c r="AR9" s="67">
        <v>0.15</v>
      </c>
      <c r="AS9" s="66">
        <f>(AK9+AK9*AQ9)/(1+AQ9*AR9)</f>
        <v>0.90103448275862075</v>
      </c>
      <c r="AT9" s="46">
        <f>AS9-AK9+J9</f>
        <v>0.80103448275862077</v>
      </c>
      <c r="AV9" s="46">
        <f>($AT9-$J9)/($J9-($AT9)*$N9)</f>
        <v>1.2707722385141742</v>
      </c>
      <c r="AW9" s="66">
        <v>35</v>
      </c>
      <c r="AX9" s="66">
        <v>1.5</v>
      </c>
      <c r="AY9" s="66">
        <v>0.8</v>
      </c>
      <c r="AZ9" s="66">
        <v>8.1</v>
      </c>
    </row>
    <row r="10" spans="1:57" ht="30.6" customHeight="1">
      <c r="A10" s="75"/>
      <c r="B10" s="75"/>
      <c r="C10" s="75"/>
      <c r="D10" s="75"/>
      <c r="E10" s="75"/>
      <c r="F10" s="75"/>
      <c r="G10" s="75">
        <v>2050</v>
      </c>
      <c r="H10" s="75"/>
      <c r="I10" s="75"/>
      <c r="J10" s="67">
        <f>AK10-CCS!$P$51/100</f>
        <v>0.43500000000000005</v>
      </c>
      <c r="L10" s="75"/>
      <c r="M10" s="68">
        <f>(AT10-J10)/J10</f>
        <v>0.90120887831946128</v>
      </c>
      <c r="N10" s="67">
        <v>0.15</v>
      </c>
      <c r="O10" s="69">
        <f>AL10+CCS!P$54/1000*7.45</f>
        <v>21.157999999999998</v>
      </c>
      <c r="P10" s="69">
        <f>O10*CCS!G$59/100</f>
        <v>0.52894999999999992</v>
      </c>
      <c r="Q10" s="69">
        <f>AN10+CCS!$P$60/3.6*7.45</f>
        <v>8.4847222222222225</v>
      </c>
      <c r="R10" s="75"/>
      <c r="S10" s="75"/>
      <c r="T10" s="75"/>
      <c r="U10" s="75"/>
      <c r="V10" s="75"/>
      <c r="W10" s="75"/>
      <c r="X10" s="69">
        <f t="shared" si="1"/>
        <v>35</v>
      </c>
      <c r="Y10" s="69">
        <f t="shared" si="1"/>
        <v>1.5</v>
      </c>
      <c r="Z10" s="69">
        <f t="shared" si="1"/>
        <v>0.8</v>
      </c>
      <c r="AA10" s="69">
        <f t="shared" si="1"/>
        <v>8.1</v>
      </c>
      <c r="AB10" s="75"/>
      <c r="AC10" s="82">
        <f>-1*PMT($AC$1,U5,O10*1000000)/R5*S5/1000000</f>
        <v>32.202155878038397</v>
      </c>
      <c r="AD10" s="82">
        <f>P10*1000000/R5*S5/1000000</f>
        <v>15.93424974632166</v>
      </c>
      <c r="AE10" s="91">
        <f>SUMIFS('DMS marginal prices'!$G$8:$G$70,'DMS marginal prices'!$F$8:$F$70,G10,'DMS marginal prices'!$D$8:$D$70,C5)/J10</f>
        <v>0</v>
      </c>
      <c r="AF10" s="91">
        <f>-1*(SUMIFS('DMS marginal prices'!$G$8:$G$70,'DMS marginal prices'!$F$8:$F$70,G10,'DMS marginal prices'!$D$8:$D$70,"SUPELC")*0.7+SUMIFS('DMS marginal prices'!$G$8:$G$70,'DMS marginal prices'!$F$8:$F$70,G10,'DMS marginal prices'!$D$8:$D$70,E6)*M10)</f>
        <v>-101.95856308881289</v>
      </c>
      <c r="AG10" s="82">
        <f>SUM(AC10:AF10)*1000/K7</f>
        <v>-653.95928974329718</v>
      </c>
      <c r="AH10" s="75"/>
      <c r="AI10" s="75"/>
      <c r="AJ10" s="75"/>
      <c r="AK10" s="67">
        <v>0.53500000000000003</v>
      </c>
      <c r="AL10" s="69">
        <v>14.080499999999999</v>
      </c>
      <c r="AM10" s="69">
        <v>0.45891999999999999</v>
      </c>
      <c r="AN10" s="69">
        <v>4.552777777777778</v>
      </c>
      <c r="AO10" s="67">
        <v>1.01</v>
      </c>
      <c r="AP10" s="67"/>
      <c r="AQ10" s="68">
        <f>1/AO10</f>
        <v>0.99009900990099009</v>
      </c>
      <c r="AR10" s="67">
        <v>0.15</v>
      </c>
      <c r="AS10" s="66">
        <f>(AK10+AK10*AQ10)/(1+AQ10*AR10)</f>
        <v>0.92702586206896576</v>
      </c>
      <c r="AT10" s="46">
        <f>AS10-AK10+J10</f>
        <v>0.82702586206896578</v>
      </c>
      <c r="AV10" s="46">
        <f>($AT10-$J10)/($J10-($AT10)*$N10)</f>
        <v>1.2607517379521627</v>
      </c>
      <c r="AW10" s="66">
        <v>35</v>
      </c>
      <c r="AX10" s="66">
        <v>1.5</v>
      </c>
      <c r="AY10" s="66">
        <v>0.8</v>
      </c>
      <c r="AZ10" s="66">
        <v>8.1</v>
      </c>
    </row>
    <row r="11" spans="1:57" ht="30.6" customHeight="1">
      <c r="A11" s="75" t="str">
        <f>"ECCCS"&amp;RIGHT(C11,3)&amp;"OXCN1"</f>
        <v>ECCCSCOAOXCN1</v>
      </c>
      <c r="B11" s="75" t="s">
        <v>194</v>
      </c>
      <c r="C11" s="75" t="s">
        <v>18</v>
      </c>
      <c r="D11" s="75"/>
      <c r="E11" s="76" t="s">
        <v>17</v>
      </c>
      <c r="F11" s="76"/>
      <c r="G11" s="75">
        <v>2013</v>
      </c>
      <c r="H11" s="74">
        <v>2025</v>
      </c>
      <c r="I11" s="75"/>
      <c r="J11" s="67">
        <f>AK11-CCS!$L$111/100</f>
        <v>0.37</v>
      </c>
      <c r="K11" s="75"/>
      <c r="L11" s="75"/>
      <c r="M11" s="68">
        <f>(AT11-J11)/J11</f>
        <v>1.1741741741741738</v>
      </c>
      <c r="N11" s="67">
        <v>0.15</v>
      </c>
      <c r="O11" s="69">
        <f>AL11+CCS!L$114/1000*7.45</f>
        <v>25.628</v>
      </c>
      <c r="P11" s="69">
        <f>O11*CCS!C$119/100</f>
        <v>0.64069999999999994</v>
      </c>
      <c r="Q11" s="69">
        <f>MAX(AN11, AN11+CCS!$L$120/3.6*7.45)</f>
        <v>4.1388888888888893</v>
      </c>
      <c r="R11" s="68">
        <v>3.1536000000000002E-2</v>
      </c>
      <c r="S11" s="67">
        <v>0.95</v>
      </c>
      <c r="T11" s="68">
        <v>1</v>
      </c>
      <c r="U11" s="62">
        <v>40</v>
      </c>
      <c r="V11" s="69">
        <v>4</v>
      </c>
      <c r="W11" s="69"/>
      <c r="X11" s="69">
        <f t="shared" si="1"/>
        <v>38</v>
      </c>
      <c r="Y11" s="69">
        <f t="shared" si="1"/>
        <v>1.5</v>
      </c>
      <c r="Z11" s="69">
        <f t="shared" si="1"/>
        <v>0.8</v>
      </c>
      <c r="AA11" s="69">
        <f t="shared" si="1"/>
        <v>8.1</v>
      </c>
      <c r="AB11" s="75"/>
      <c r="AC11" s="82">
        <f>-1*PMT($AC$1,U11,O11*1000000)/R11*S11/1000000</f>
        <v>39.005428246638061</v>
      </c>
      <c r="AD11" s="82">
        <f>P11*1000000/R11*S11/1000000</f>
        <v>19.300640537798067</v>
      </c>
      <c r="AE11" s="91">
        <f>SUMIFS('DMS marginal prices'!$G$8:$G$70,'DMS marginal prices'!$F$8:$F$70,G11,'DMS marginal prices'!$D$8:$D$70,C11)/J11</f>
        <v>0</v>
      </c>
      <c r="AF11" s="91">
        <f>SUMIFS('DMS marginal prices'!$G$8:$G$70,'DMS marginal prices'!$F$8:$F$70,G11,'DMS marginal prices'!$D$8:$D$70,"SUPELC")*0.7+SUMIFS('DMS marginal prices'!$G$8:$G$70,'DMS marginal prices'!$F$8:$F$70,G12,'DMS marginal prices'!$D$8:$D$70,E12)*M11</f>
        <v>0</v>
      </c>
      <c r="AG11" s="82">
        <f>SUM(AC11:AF13)*1000/K13</f>
        <v>684.82580202532449</v>
      </c>
      <c r="AH11" s="75"/>
      <c r="AI11" s="75"/>
      <c r="AJ11" s="75"/>
      <c r="AK11" s="67">
        <v>0.46</v>
      </c>
      <c r="AL11" s="69">
        <v>15.198</v>
      </c>
      <c r="AM11" s="69">
        <v>0.42614000000000002</v>
      </c>
      <c r="AN11" s="69">
        <v>4.1388888888888893</v>
      </c>
      <c r="AO11" s="67">
        <v>0.75</v>
      </c>
      <c r="AP11" s="68" t="s">
        <v>25</v>
      </c>
      <c r="AQ11" s="68">
        <f>1/AO11</f>
        <v>1.3333333333333333</v>
      </c>
      <c r="AR11" s="67">
        <v>0.15</v>
      </c>
      <c r="AS11" s="66">
        <f>(AK11+AK11*AQ11)/(1+AQ11*AR11)</f>
        <v>0.89444444444444438</v>
      </c>
      <c r="AT11" s="46">
        <f>AS11-AK11+J11</f>
        <v>0.8044444444444443</v>
      </c>
      <c r="AV11" s="46">
        <f>($AT11-$J11)/($J11-($AT11)*$N11)</f>
        <v>1.7424242424242418</v>
      </c>
      <c r="AW11" s="66">
        <v>38</v>
      </c>
      <c r="AX11" s="66">
        <v>1.5</v>
      </c>
      <c r="AY11" s="66">
        <v>0.8</v>
      </c>
      <c r="AZ11" s="66">
        <v>8.1</v>
      </c>
    </row>
    <row r="12" spans="1:57" ht="30.6" customHeight="1">
      <c r="A12" s="75"/>
      <c r="B12" s="75"/>
      <c r="C12" s="75"/>
      <c r="D12" s="75"/>
      <c r="E12" s="195" t="s">
        <v>601</v>
      </c>
      <c r="F12" s="76"/>
      <c r="G12" s="74">
        <v>2013</v>
      </c>
      <c r="H12" s="75"/>
      <c r="I12" s="75"/>
      <c r="K12" s="75"/>
      <c r="L12" s="75"/>
      <c r="R12" s="75"/>
      <c r="S12" s="75"/>
      <c r="T12" s="75"/>
      <c r="U12" s="75"/>
      <c r="V12" s="75"/>
      <c r="W12" s="75"/>
      <c r="X12" s="69"/>
      <c r="Y12" s="69"/>
      <c r="Z12" s="69"/>
      <c r="AA12" s="69"/>
      <c r="AB12" s="75"/>
      <c r="AC12" s="91"/>
      <c r="AD12" s="91"/>
      <c r="AF12" s="91"/>
      <c r="AG12" s="91"/>
      <c r="AH12" s="75"/>
      <c r="AI12" s="75"/>
      <c r="AJ12" s="75"/>
      <c r="AQ12" s="74"/>
      <c r="AR12" s="67"/>
    </row>
    <row r="13" spans="1:57" ht="30.6" customHeight="1">
      <c r="A13" s="75"/>
      <c r="B13" s="75"/>
      <c r="C13" s="75"/>
      <c r="D13" s="75"/>
      <c r="E13" s="76"/>
      <c r="F13" s="74" t="str">
        <f>ELC_CCS_Comm!$C$15</f>
        <v>CO2FOSE</v>
      </c>
      <c r="G13" s="74">
        <v>2013</v>
      </c>
      <c r="H13" s="75"/>
      <c r="I13" s="75"/>
      <c r="K13" s="74">
        <f>Emissions!C11*CCS!$C$112/100</f>
        <v>85.14</v>
      </c>
      <c r="R13" s="75"/>
      <c r="S13" s="75"/>
      <c r="T13" s="75"/>
      <c r="U13" s="75"/>
      <c r="V13" s="75"/>
      <c r="W13" s="75"/>
      <c r="X13" s="69"/>
      <c r="Y13" s="69"/>
      <c r="Z13" s="69"/>
      <c r="AA13" s="69"/>
      <c r="AB13" s="75"/>
      <c r="AC13" s="82"/>
      <c r="AD13" s="82"/>
      <c r="AE13" s="91"/>
      <c r="AF13" s="91"/>
      <c r="AG13" s="82"/>
      <c r="AH13" s="75"/>
      <c r="AI13" s="75"/>
      <c r="AJ13" s="75"/>
      <c r="AQ13" s="74"/>
      <c r="AR13" s="67"/>
    </row>
    <row r="14" spans="1:57" ht="30.6" customHeight="1">
      <c r="A14" s="75"/>
      <c r="B14" s="75"/>
      <c r="C14" s="75"/>
      <c r="D14" s="75"/>
      <c r="E14" s="76"/>
      <c r="F14" s="76"/>
      <c r="G14" s="75">
        <v>2020</v>
      </c>
      <c r="H14" s="75"/>
      <c r="I14" s="75"/>
      <c r="J14" s="67">
        <f>AK14-CCS!$M$111/100</f>
        <v>0.39500000000000002</v>
      </c>
      <c r="M14" s="68">
        <f>(AT14-J14)/J14</f>
        <v>1.0542130162383327</v>
      </c>
      <c r="N14" s="67">
        <v>0.15</v>
      </c>
      <c r="O14" s="69">
        <f>AL14+CCS!M$114/1000*7.45</f>
        <v>23.3185</v>
      </c>
      <c r="P14" s="69">
        <f>O14*CCS!D$119/100</f>
        <v>0.58296250000000005</v>
      </c>
      <c r="Q14" s="69">
        <f>MAX(AN14, AN14+CCS!$L$120/3.6*7.45)</f>
        <v>4.552777777777778</v>
      </c>
      <c r="R14" s="75"/>
      <c r="S14" s="75"/>
      <c r="T14" s="75"/>
      <c r="U14" s="75"/>
      <c r="V14" s="75"/>
      <c r="W14" s="75"/>
      <c r="X14" s="69">
        <f t="shared" ref="X14:AA17" si="2">AW14</f>
        <v>35</v>
      </c>
      <c r="Y14" s="69">
        <f t="shared" si="2"/>
        <v>1.5</v>
      </c>
      <c r="Z14" s="69">
        <f t="shared" si="2"/>
        <v>0.8</v>
      </c>
      <c r="AA14" s="69">
        <f t="shared" si="2"/>
        <v>8.1</v>
      </c>
      <c r="AB14" s="75"/>
      <c r="AC14" s="82">
        <f>-1*PMT($AC$1,U11,O14*1000000)/R11*S11/1000000</f>
        <v>35.490404189528242</v>
      </c>
      <c r="AD14" s="82">
        <f>P14*1000000/R11*S11/1000000</f>
        <v>17.561338628868594</v>
      </c>
      <c r="AE14" s="91">
        <f>SUMIFS('DMS marginal prices'!$G$8:$G$70,'DMS marginal prices'!$F$8:$F$70,G14,'DMS marginal prices'!$D$8:$D$70,C11)/J14</f>
        <v>0</v>
      </c>
      <c r="AF14" s="91">
        <f>-1*(SUMIFS('DMS marginal prices'!$G$8:$G$70,'DMS marginal prices'!$F$8:$F$70,G14,'DMS marginal prices'!$D$8:$D$70,"SUPELC")*0.7+SUMIFS('DMS marginal prices'!$G$8:$G$70,'DMS marginal prices'!$F$8:$F$70,G14,'DMS marginal prices'!$D$8:$D$70,E12)*M14)</f>
        <v>-108.04580564502835</v>
      </c>
      <c r="AG14" s="82">
        <f>SUM(AC14:AF14)*1000/K13</f>
        <v>-645.92509779928957</v>
      </c>
      <c r="AH14" s="75"/>
      <c r="AI14" s="75"/>
      <c r="AJ14" s="75"/>
      <c r="AK14" s="67">
        <v>0.48499999999999999</v>
      </c>
      <c r="AL14" s="69">
        <v>15.123499999999998</v>
      </c>
      <c r="AM14" s="69">
        <v>0.45891999999999999</v>
      </c>
      <c r="AN14" s="69">
        <v>4.552777777777778</v>
      </c>
      <c r="AO14" s="67">
        <v>0.84</v>
      </c>
      <c r="AP14" s="67"/>
      <c r="AQ14" s="68">
        <f>1/AO14</f>
        <v>1.1904761904761905</v>
      </c>
      <c r="AR14" s="67">
        <v>0.15</v>
      </c>
      <c r="AS14" s="66">
        <f>(AK14+AK14*AQ14)/(1+AQ14*AR14)</f>
        <v>0.90141414141414145</v>
      </c>
      <c r="AT14" s="46">
        <f>AS14-AK14+J14</f>
        <v>0.81141414141414148</v>
      </c>
      <c r="AV14" s="46">
        <f>($AT14-$J14)/($J14-($AT14)*$N14)</f>
        <v>1.5237197612315427</v>
      </c>
      <c r="AW14" s="66">
        <v>35</v>
      </c>
      <c r="AX14" s="66">
        <v>1.5</v>
      </c>
      <c r="AY14" s="66">
        <v>0.8</v>
      </c>
      <c r="AZ14" s="66">
        <v>8.1</v>
      </c>
    </row>
    <row r="15" spans="1:57" ht="30.6" customHeight="1">
      <c r="A15" s="75"/>
      <c r="B15" s="75"/>
      <c r="C15" s="75"/>
      <c r="D15" s="75"/>
      <c r="E15" s="75"/>
      <c r="F15" s="75"/>
      <c r="G15" s="75">
        <v>2030</v>
      </c>
      <c r="H15" s="75"/>
      <c r="I15" s="75"/>
      <c r="J15" s="67">
        <f>AK15-CCS!$N$111/100</f>
        <v>0.43000000000000005</v>
      </c>
      <c r="L15" s="75"/>
      <c r="M15" s="68">
        <f>(AT15-J15)/J15</f>
        <v>0.88612670408981553</v>
      </c>
      <c r="N15" s="67">
        <v>0.15</v>
      </c>
      <c r="O15" s="69">
        <f>AL15+CCS!N$114/1000*7.45</f>
        <v>21.902999999999999</v>
      </c>
      <c r="P15" s="69">
        <f>O15*CCS!E$119/100</f>
        <v>0.54757499999999992</v>
      </c>
      <c r="Q15" s="69">
        <f>MAX(AN15, AN15+CCS!$L$120/3.6*7.45)</f>
        <v>4.552777777777778</v>
      </c>
      <c r="R15" s="75"/>
      <c r="S15" s="75"/>
      <c r="T15" s="75"/>
      <c r="U15" s="75"/>
      <c r="V15" s="75"/>
      <c r="W15" s="75"/>
      <c r="X15" s="69">
        <f t="shared" si="2"/>
        <v>35</v>
      </c>
      <c r="Y15" s="69">
        <f t="shared" si="2"/>
        <v>1.5</v>
      </c>
      <c r="Z15" s="69">
        <f t="shared" si="2"/>
        <v>0.8</v>
      </c>
      <c r="AA15" s="69">
        <f t="shared" si="2"/>
        <v>8.1</v>
      </c>
      <c r="AB15" s="75"/>
      <c r="AC15" s="82">
        <f>-1*PMT($AC$1,U11,O15*1000000)/R11*S11/1000000</f>
        <v>33.336034606138355</v>
      </c>
      <c r="AD15" s="82">
        <f>P15*1000000/R11*S11/1000000</f>
        <v>16.495314878234396</v>
      </c>
      <c r="AE15" s="91">
        <f>SUMIFS('DMS marginal prices'!$G$8:$G$70,'DMS marginal prices'!$F$8:$F$70,G15,'DMS marginal prices'!$D$8:$D$70,C11)/J15</f>
        <v>0</v>
      </c>
      <c r="AF15" s="91">
        <f>-1*(SUMIFS('DMS marginal prices'!$G$8:$G$70,'DMS marginal prices'!$F$8:$F$70,G15,'DMS marginal prices'!$D$8:$D$70,"SUPELC")*0.7+SUMIFS('DMS marginal prices'!$G$8:$G$70,'DMS marginal prices'!$F$8:$F$70,G15,'DMS marginal prices'!$D$8:$D$70,E12)*M15)</f>
        <v>-135.03782063921599</v>
      </c>
      <c r="AG15" s="82">
        <f>SUM(AC15:AF15)*1000/K13</f>
        <v>-1000.7807276819736</v>
      </c>
      <c r="AH15" s="75"/>
      <c r="AI15" s="75"/>
      <c r="AJ15" s="75"/>
      <c r="AK15" s="67">
        <v>0.52</v>
      </c>
      <c r="AL15" s="69">
        <v>14.8255</v>
      </c>
      <c r="AM15" s="69">
        <v>0.45891999999999999</v>
      </c>
      <c r="AN15" s="69">
        <v>4.552777777777778</v>
      </c>
      <c r="AO15" s="67">
        <v>1.01</v>
      </c>
      <c r="AP15" s="67"/>
      <c r="AQ15" s="68">
        <f>1/AO15</f>
        <v>0.99009900990099009</v>
      </c>
      <c r="AR15" s="67">
        <v>0.15</v>
      </c>
      <c r="AS15" s="66">
        <f>(AK15+AK15*AQ15)/(1+AQ15*AR15)</f>
        <v>0.90103448275862075</v>
      </c>
      <c r="AT15" s="46">
        <f>AS15-AK15+J15</f>
        <v>0.81103448275862078</v>
      </c>
      <c r="AV15" s="46">
        <f>($AT15-$J15)/($J15-($AT15)*$N15)</f>
        <v>1.2357414448669199</v>
      </c>
      <c r="AW15" s="66">
        <v>35</v>
      </c>
      <c r="AX15" s="66">
        <v>1.5</v>
      </c>
      <c r="AY15" s="66">
        <v>0.8</v>
      </c>
      <c r="AZ15" s="66">
        <v>8.1</v>
      </c>
    </row>
    <row r="16" spans="1:57" ht="30.6" customHeight="1">
      <c r="A16" s="75"/>
      <c r="B16" s="75"/>
      <c r="C16" s="75"/>
      <c r="D16" s="75"/>
      <c r="E16" s="75"/>
      <c r="F16" s="75"/>
      <c r="G16" s="75">
        <v>2050</v>
      </c>
      <c r="H16" s="75"/>
      <c r="I16" s="75"/>
      <c r="J16" s="67">
        <f>AK16-CCS!$P$111/100</f>
        <v>0.44500000000000006</v>
      </c>
      <c r="L16" s="75"/>
      <c r="M16" s="68">
        <f>(AT16-J16)/J16</f>
        <v>0.88095699341340605</v>
      </c>
      <c r="N16" s="67">
        <v>0.15</v>
      </c>
      <c r="O16" s="69">
        <f>AL16+CCS!P$114/1000*7.45</f>
        <v>21.157999999999998</v>
      </c>
      <c r="P16" s="69">
        <f>O16*CCS!G$119/100</f>
        <v>0.52894999999999992</v>
      </c>
      <c r="Q16" s="69">
        <f>MAX(AN16, AN16+CCS!$L$120/3.6*7.45)</f>
        <v>4.552777777777778</v>
      </c>
      <c r="R16" s="75"/>
      <c r="S16" s="75"/>
      <c r="T16" s="75"/>
      <c r="U16" s="75"/>
      <c r="V16" s="75"/>
      <c r="W16" s="75"/>
      <c r="X16" s="69">
        <f t="shared" si="2"/>
        <v>35</v>
      </c>
      <c r="Y16" s="69">
        <f t="shared" si="2"/>
        <v>1.5</v>
      </c>
      <c r="Z16" s="69">
        <f t="shared" si="2"/>
        <v>0.8</v>
      </c>
      <c r="AA16" s="69">
        <f t="shared" si="2"/>
        <v>8.1</v>
      </c>
      <c r="AB16" s="75"/>
      <c r="AC16" s="82">
        <f>-1*PMT($AC$1,U11,O16*1000000)/R11*S11/1000000</f>
        <v>32.202155878038397</v>
      </c>
      <c r="AD16" s="82">
        <f>P16*1000000/R11*S11/1000000</f>
        <v>15.93424974632166</v>
      </c>
      <c r="AE16" s="91">
        <f>SUMIFS('DMS marginal prices'!$G$8:$G$70,'DMS marginal prices'!$F$8:$F$70,G16,'DMS marginal prices'!$D$8:$D$70,C11)/J16</f>
        <v>0</v>
      </c>
      <c r="AF16" s="91">
        <f>-1*(SUMIFS('DMS marginal prices'!$G$8:$G$70,'DMS marginal prices'!$F$8:$F$70,G16,'DMS marginal prices'!$D$8:$D$70,"SUPELC")*0.7+SUMIFS('DMS marginal prices'!$G$8:$G$70,'DMS marginal prices'!$F$8:$F$70,G16,'DMS marginal prices'!$D$8:$D$70,E12)*M16)</f>
        <v>-101.31729902621389</v>
      </c>
      <c r="AG16" s="82">
        <f>SUM(AC16:AF16)*1000/K13</f>
        <v>-624.62876910798479</v>
      </c>
      <c r="AH16" s="75"/>
      <c r="AI16" s="75"/>
      <c r="AJ16" s="75"/>
      <c r="AK16" s="67">
        <v>0.53500000000000003</v>
      </c>
      <c r="AL16" s="69">
        <v>14.080499999999999</v>
      </c>
      <c r="AM16" s="69">
        <v>0.45891999999999999</v>
      </c>
      <c r="AN16" s="69">
        <v>4.552777777777778</v>
      </c>
      <c r="AO16" s="67">
        <v>1.01</v>
      </c>
      <c r="AP16" s="67"/>
      <c r="AQ16" s="68">
        <f>1/AO16</f>
        <v>0.99009900990099009</v>
      </c>
      <c r="AR16" s="67">
        <v>0.15</v>
      </c>
      <c r="AS16" s="66">
        <f>(AK16+AK16*AQ16)/(1+AQ16*AR16)</f>
        <v>0.92702586206896576</v>
      </c>
      <c r="AT16" s="46">
        <f>AS16-AK16+J16</f>
        <v>0.83702586206896579</v>
      </c>
      <c r="AV16" s="46">
        <f>($AT16-$J16)/($J16-($AT16)*$N16)</f>
        <v>1.2272049546966401</v>
      </c>
      <c r="AW16" s="66">
        <v>35</v>
      </c>
      <c r="AX16" s="66">
        <v>1.5</v>
      </c>
      <c r="AY16" s="66">
        <v>0.8</v>
      </c>
      <c r="AZ16" s="66">
        <v>8.1</v>
      </c>
    </row>
    <row r="17" spans="1:51" ht="30.6" customHeight="1">
      <c r="A17" s="75" t="str">
        <f>"ECCCS"&amp;RIGHT(C17,3)&amp;"POCN1"</f>
        <v>ECCCSWPEPOCN1</v>
      </c>
      <c r="B17" s="75" t="s">
        <v>306</v>
      </c>
      <c r="C17" s="66" t="s">
        <v>182</v>
      </c>
      <c r="D17" s="75"/>
      <c r="E17" s="76" t="s">
        <v>17</v>
      </c>
      <c r="F17" s="76"/>
      <c r="G17" s="75">
        <v>2013</v>
      </c>
      <c r="H17" s="74">
        <v>2025</v>
      </c>
      <c r="I17" s="75"/>
      <c r="J17" s="67">
        <f>AK17-CCS!$L$51/100</f>
        <v>0.35000000000000003</v>
      </c>
      <c r="K17" s="67"/>
      <c r="L17" s="68" t="s">
        <v>25</v>
      </c>
      <c r="M17" s="68">
        <f>(AT17-J17)/J17</f>
        <v>1.2412698412698409</v>
      </c>
      <c r="N17" s="67">
        <v>0.15</v>
      </c>
      <c r="O17" s="69">
        <f>AL17+CCS!L$54/1000*7.45</f>
        <v>25.628</v>
      </c>
      <c r="P17" s="69">
        <f>O17*CCS!C$59/100</f>
        <v>0.64069999999999994</v>
      </c>
      <c r="Q17" s="69">
        <f>AN17+CCS!$L$60/3.6*7.45</f>
        <v>8.0708333333333329</v>
      </c>
      <c r="R17" s="68">
        <v>3.1536000000000002E-2</v>
      </c>
      <c r="S17" s="67">
        <v>0.95</v>
      </c>
      <c r="T17" s="68">
        <v>1</v>
      </c>
      <c r="U17" s="62">
        <v>40</v>
      </c>
      <c r="V17" s="69">
        <v>4</v>
      </c>
      <c r="W17" s="69"/>
      <c r="X17" s="69">
        <f t="shared" si="2"/>
        <v>38</v>
      </c>
      <c r="Y17" s="69">
        <f t="shared" si="2"/>
        <v>2</v>
      </c>
      <c r="Z17" s="69">
        <f t="shared" si="2"/>
        <v>0.8</v>
      </c>
      <c r="AA17" s="69">
        <f t="shared" si="2"/>
        <v>0</v>
      </c>
      <c r="AC17" s="82">
        <f>-1*PMT($AC$1,U17,O17*1000000)/R17*S17/1000000</f>
        <v>39.005428246638061</v>
      </c>
      <c r="AD17" s="82">
        <f>P17*1000000/R17*S17/1000000</f>
        <v>19.300640537798067</v>
      </c>
      <c r="AE17" s="91">
        <f>SUMIFS('DMS marginal prices'!$G$8:$G$70,'DMS marginal prices'!$F$8:$F$70,G17,'DMS marginal prices'!$D$8:$D$70,C17)/J17</f>
        <v>0</v>
      </c>
      <c r="AF17" s="91">
        <f>SUMIFS('DMS marginal prices'!$G$8:$G$70,'DMS marginal prices'!$F$8:$F$70,G17,'DMS marginal prices'!$D$8:$D$70,"SUPELC")*0.7+SUMIFS('DMS marginal prices'!$G$8:$G$70,'DMS marginal prices'!$F$8:$F$70,G18,'DMS marginal prices'!$D$8:$D$70,E18)*M17</f>
        <v>0</v>
      </c>
      <c r="AG17" s="82">
        <f>SUM(AC17:AF19)*1000/K19</f>
        <v>708.44048485378403</v>
      </c>
      <c r="AK17" s="67">
        <v>0.46</v>
      </c>
      <c r="AL17" s="69">
        <v>15.198</v>
      </c>
      <c r="AM17" s="69">
        <v>0.42614000000000002</v>
      </c>
      <c r="AN17" s="69">
        <v>4.1388888888888893</v>
      </c>
      <c r="AO17" s="67">
        <v>0.75</v>
      </c>
      <c r="AP17" s="68" t="s">
        <v>25</v>
      </c>
      <c r="AQ17" s="68">
        <f>1/AO17</f>
        <v>1.3333333333333333</v>
      </c>
      <c r="AR17" s="67">
        <v>0.15</v>
      </c>
      <c r="AS17" s="66">
        <f>(AK17+AK17*AQ17)/(1+AQ17*AR17)</f>
        <v>0.89444444444444438</v>
      </c>
      <c r="AT17" s="46">
        <f>AS17-AK17+J17</f>
        <v>0.78444444444444439</v>
      </c>
      <c r="AV17" s="46">
        <f>($AT17-$J17)/($J17-($AT17)*$N17)</f>
        <v>1.8699186991869909</v>
      </c>
      <c r="AW17" s="66">
        <v>38</v>
      </c>
      <c r="AX17" s="66">
        <v>2</v>
      </c>
      <c r="AY17" s="66">
        <v>0.8</v>
      </c>
    </row>
    <row r="18" spans="1:51" ht="30.6" customHeight="1">
      <c r="C18" s="75"/>
      <c r="D18" s="75"/>
      <c r="E18" s="195" t="s">
        <v>601</v>
      </c>
      <c r="F18" s="76"/>
      <c r="G18" s="74">
        <v>2013</v>
      </c>
      <c r="H18" s="75"/>
      <c r="I18" s="75"/>
      <c r="L18" s="55"/>
      <c r="V18" s="69"/>
      <c r="W18" s="69"/>
      <c r="X18" s="69"/>
      <c r="Y18" s="69"/>
      <c r="Z18" s="69"/>
      <c r="AA18" s="69"/>
      <c r="AC18" s="91"/>
      <c r="AD18" s="91"/>
      <c r="AF18" s="91"/>
      <c r="AG18" s="91"/>
      <c r="AO18" s="67"/>
      <c r="AP18" s="68"/>
      <c r="AQ18" s="68"/>
      <c r="AR18" s="67"/>
      <c r="AS18" s="67"/>
    </row>
    <row r="19" spans="1:51" ht="30.6" customHeight="1">
      <c r="A19" s="75"/>
      <c r="B19" s="75"/>
      <c r="C19" s="75"/>
      <c r="D19" s="75"/>
      <c r="E19" s="76"/>
      <c r="F19" s="74" t="str">
        <f>ELC_CCS_Comm!$C$14</f>
        <v>CO2BIOE</v>
      </c>
      <c r="G19" s="74">
        <v>2013</v>
      </c>
      <c r="H19" s="75"/>
      <c r="I19" s="75"/>
      <c r="K19" s="74">
        <f>Emissions!C11*CCS!$C$52/100</f>
        <v>82.301999999999992</v>
      </c>
      <c r="V19" s="69"/>
      <c r="W19" s="69"/>
      <c r="X19" s="69"/>
      <c r="Y19" s="69"/>
      <c r="Z19" s="69"/>
      <c r="AA19" s="69"/>
      <c r="AC19" s="82"/>
      <c r="AD19" s="82"/>
      <c r="AE19" s="91"/>
      <c r="AF19" s="91"/>
      <c r="AG19" s="82"/>
      <c r="AO19" s="67"/>
      <c r="AP19" s="68"/>
      <c r="AQ19" s="68"/>
      <c r="AR19" s="67"/>
      <c r="AS19" s="67"/>
      <c r="AT19" s="80"/>
    </row>
    <row r="20" spans="1:51" ht="30.6" customHeight="1">
      <c r="A20" s="75"/>
      <c r="B20" s="75"/>
      <c r="C20" s="75"/>
      <c r="D20" s="75"/>
      <c r="E20" s="76"/>
      <c r="F20" s="76"/>
      <c r="G20" s="75">
        <v>2020</v>
      </c>
      <c r="H20" s="75"/>
      <c r="I20" s="75"/>
      <c r="J20" s="67">
        <f>AK20-CCS!$M$51/100</f>
        <v>0.375</v>
      </c>
      <c r="L20" s="68" t="s">
        <v>25</v>
      </c>
      <c r="M20" s="68">
        <f>(AT20-J20)/J20</f>
        <v>1.1104377104377106</v>
      </c>
      <c r="N20" s="67">
        <v>0.15</v>
      </c>
      <c r="O20" s="69">
        <f>AL20+CCS!M$54/1000*7.45</f>
        <v>23.3185</v>
      </c>
      <c r="P20" s="69">
        <f>O20*CCS!D$59/100</f>
        <v>0.58296250000000005</v>
      </c>
      <c r="Q20" s="69">
        <f>AN20+CCS!$M$60/3.6*7.45</f>
        <v>8.4847222222222225</v>
      </c>
      <c r="R20" s="68"/>
      <c r="S20" s="68"/>
      <c r="T20" s="68"/>
      <c r="U20" s="63"/>
      <c r="V20" s="69"/>
      <c r="W20" s="69"/>
      <c r="X20" s="69">
        <f t="shared" ref="X20:AA23" si="3">AW20</f>
        <v>35</v>
      </c>
      <c r="Y20" s="69">
        <f t="shared" si="3"/>
        <v>2</v>
      </c>
      <c r="Z20" s="69">
        <f t="shared" si="3"/>
        <v>0.8</v>
      </c>
      <c r="AA20" s="69">
        <f t="shared" si="3"/>
        <v>0</v>
      </c>
      <c r="AC20" s="82">
        <f>-1*PMT($AC$1,U17,O20*1000000)/R17*S17/1000000</f>
        <v>35.490404189528242</v>
      </c>
      <c r="AD20" s="82">
        <f>P20*1000000/R17*S17/1000000</f>
        <v>17.561338628868594</v>
      </c>
      <c r="AE20" s="91">
        <f>SUMIFS('DMS marginal prices'!$G$8:$G$70,'DMS marginal prices'!$F$8:$F$70,G20,'DMS marginal prices'!$D$8:$D$70,C17)/J20</f>
        <v>0</v>
      </c>
      <c r="AF20" s="91">
        <f>-1*(SUMIFS('DMS marginal prices'!$G$8:$G$70,'DMS marginal prices'!$F$8:$F$70,G20,'DMS marginal prices'!$D$8:$D$70,"SUPELC")*0.7+SUMIFS('DMS marginal prices'!$G$8:$G$70,'DMS marginal prices'!$F$8:$F$70,G20,'DMS marginal prices'!$D$8:$D$70,E18)*M20)</f>
        <v>-110.98309099705088</v>
      </c>
      <c r="AG20" s="82">
        <f>SUM(AC20:AF20)*1000/K19</f>
        <v>-703.88748971658106</v>
      </c>
      <c r="AK20" s="66">
        <v>0.48499999999999999</v>
      </c>
      <c r="AL20" s="66">
        <v>15.123499999999998</v>
      </c>
      <c r="AM20" s="66">
        <v>0.45891999999999999</v>
      </c>
      <c r="AN20" s="66">
        <v>4.552777777777778</v>
      </c>
      <c r="AO20" s="67">
        <v>0.84</v>
      </c>
      <c r="AP20" s="68" t="s">
        <v>25</v>
      </c>
      <c r="AQ20" s="68">
        <f>1/AO20</f>
        <v>1.1904761904761905</v>
      </c>
      <c r="AR20" s="67">
        <v>0.15</v>
      </c>
      <c r="AS20" s="66">
        <f>(AK20+AK20*AQ20)/(1+AQ20*AR20)</f>
        <v>0.90141414141414145</v>
      </c>
      <c r="AT20" s="46">
        <f>AS20-AK20+J20</f>
        <v>0.79141414141414146</v>
      </c>
      <c r="AV20" s="46">
        <f>($AT20-$J20)/($J20-($AT20)*$N20)</f>
        <v>1.6247906197654942</v>
      </c>
      <c r="AW20" s="66">
        <v>35</v>
      </c>
      <c r="AX20" s="66">
        <v>2</v>
      </c>
      <c r="AY20" s="66">
        <v>0.8</v>
      </c>
    </row>
    <row r="21" spans="1:51" ht="30.6" customHeight="1">
      <c r="A21" s="75"/>
      <c r="B21" s="75"/>
      <c r="C21" s="75"/>
      <c r="D21" s="75"/>
      <c r="E21" s="75"/>
      <c r="F21" s="75"/>
      <c r="G21" s="75">
        <v>2030</v>
      </c>
      <c r="H21" s="75"/>
      <c r="I21" s="75"/>
      <c r="J21" s="67">
        <f>AK21-CCS!$N$51/100</f>
        <v>0.42000000000000004</v>
      </c>
      <c r="L21" s="68" t="s">
        <v>25</v>
      </c>
      <c r="M21" s="68">
        <f>(AT21-J21)/J21</f>
        <v>0.90722495894909694</v>
      </c>
      <c r="N21" s="67">
        <v>0.15</v>
      </c>
      <c r="O21" s="69">
        <f>AL21+CCS!N$54/1000*7.45</f>
        <v>21.902999999999999</v>
      </c>
      <c r="P21" s="69">
        <f>O21*CCS!E$59/100</f>
        <v>0.54757499999999992</v>
      </c>
      <c r="Q21" s="69">
        <f>AN21+CCS!$N$60/3.6*7.45</f>
        <v>8.4847222222222225</v>
      </c>
      <c r="R21" s="68"/>
      <c r="S21" s="68"/>
      <c r="T21" s="68"/>
      <c r="U21" s="63"/>
      <c r="V21" s="75"/>
      <c r="W21" s="75"/>
      <c r="X21" s="69">
        <f t="shared" si="3"/>
        <v>35</v>
      </c>
      <c r="Y21" s="69">
        <f t="shared" si="3"/>
        <v>2</v>
      </c>
      <c r="Z21" s="69">
        <f t="shared" si="3"/>
        <v>0.8</v>
      </c>
      <c r="AA21" s="69">
        <f t="shared" si="3"/>
        <v>0</v>
      </c>
      <c r="AB21" s="75"/>
      <c r="AC21" s="82">
        <f>-1*PMT($AC$1,U17,O21*1000000)/R17*S17/1000000</f>
        <v>33.336034606138355</v>
      </c>
      <c r="AD21" s="82">
        <f>P21*1000000/R17*S17/1000000</f>
        <v>16.495314878234396</v>
      </c>
      <c r="AE21" s="91">
        <f>SUMIFS('DMS marginal prices'!$G$8:$G$70,'DMS marginal prices'!$F$8:$F$70,G21,'DMS marginal prices'!$D$8:$D$70,C17)/J21</f>
        <v>0</v>
      </c>
      <c r="AF21" s="91">
        <f>-1*(SUMIFS('DMS marginal prices'!$G$8:$G$70,'DMS marginal prices'!$F$8:$F$70,G21,'DMS marginal prices'!$D$8:$D$70,"SUPELC")*0.7+SUMIFS('DMS marginal prices'!$G$8:$G$70,'DMS marginal prices'!$F$8:$F$70,G21,'DMS marginal prices'!$D$8:$D$70,E18)*M21)</f>
        <v>-135.95817308349604</v>
      </c>
      <c r="AG21" s="82">
        <f>SUM(AC21:AF21)*1000/K19</f>
        <v>-1046.473033451475</v>
      </c>
      <c r="AH21" s="75"/>
      <c r="AI21" s="75"/>
      <c r="AJ21" s="75"/>
      <c r="AK21" s="66">
        <v>0.52</v>
      </c>
      <c r="AL21" s="66">
        <v>14.8255</v>
      </c>
      <c r="AM21" s="66">
        <v>0.45891999999999999</v>
      </c>
      <c r="AN21" s="66">
        <v>4.552777777777778</v>
      </c>
      <c r="AO21" s="67">
        <v>1.01</v>
      </c>
      <c r="AP21" s="68" t="s">
        <v>25</v>
      </c>
      <c r="AQ21" s="68">
        <f>1/AO21</f>
        <v>0.99009900990099009</v>
      </c>
      <c r="AR21" s="67">
        <v>0.15</v>
      </c>
      <c r="AS21" s="66">
        <f>(AK21+AK21*AQ21)/(1+AQ21*AR21)</f>
        <v>0.90103448275862075</v>
      </c>
      <c r="AT21" s="46">
        <f>AS21-AK21+J21</f>
        <v>0.80103448275862077</v>
      </c>
      <c r="AV21" s="46">
        <f>($AT21-$J21)/($J21-($AT21)*$N21)</f>
        <v>1.2707722385141742</v>
      </c>
      <c r="AW21" s="66">
        <v>35</v>
      </c>
      <c r="AX21" s="66">
        <v>2</v>
      </c>
      <c r="AY21" s="66">
        <v>0.8</v>
      </c>
    </row>
    <row r="22" spans="1:51" ht="30.6" customHeight="1">
      <c r="A22" s="75"/>
      <c r="B22" s="75"/>
      <c r="C22" s="75"/>
      <c r="D22" s="75"/>
      <c r="E22" s="75"/>
      <c r="F22" s="75"/>
      <c r="G22" s="75">
        <v>2050</v>
      </c>
      <c r="H22" s="75"/>
      <c r="I22" s="75"/>
      <c r="J22" s="67">
        <f>AK22-CCS!$P$51/100</f>
        <v>0.43500000000000005</v>
      </c>
      <c r="L22" s="75"/>
      <c r="M22" s="68">
        <f>(AT22-J22)/J22</f>
        <v>0.90120887831946128</v>
      </c>
      <c r="N22" s="67">
        <v>0.15</v>
      </c>
      <c r="O22" s="69">
        <f>AL22+CCS!P$54/1000*7.45</f>
        <v>21.157999999999998</v>
      </c>
      <c r="P22" s="69">
        <f>O22*CCS!G$59/100</f>
        <v>0.52894999999999992</v>
      </c>
      <c r="Q22" s="69">
        <f>AN22+CCS!$P$60/3.6*7.45</f>
        <v>8.4847222222222225</v>
      </c>
      <c r="R22" s="75"/>
      <c r="S22" s="75"/>
      <c r="T22" s="75"/>
      <c r="U22" s="75"/>
      <c r="V22" s="75"/>
      <c r="W22" s="75"/>
      <c r="X22" s="69">
        <f t="shared" si="3"/>
        <v>35</v>
      </c>
      <c r="Y22" s="69">
        <f t="shared" si="3"/>
        <v>2</v>
      </c>
      <c r="Z22" s="69">
        <f t="shared" si="3"/>
        <v>0.8</v>
      </c>
      <c r="AA22" s="69">
        <f t="shared" si="3"/>
        <v>0</v>
      </c>
      <c r="AB22" s="75"/>
      <c r="AC22" s="82">
        <f>-1*PMT($AC$1,U17,O22*1000000)/R17*S17/1000000</f>
        <v>32.202155878038397</v>
      </c>
      <c r="AD22" s="82">
        <f>P22*1000000/R17*S17/1000000</f>
        <v>15.93424974632166</v>
      </c>
      <c r="AE22" s="91">
        <f>SUMIFS('DMS marginal prices'!$G$8:$G$70,'DMS marginal prices'!$F$8:$F$70,G22,'DMS marginal prices'!$D$8:$D$70,C17)/J22</f>
        <v>0</v>
      </c>
      <c r="AF22" s="91">
        <f>-1*(SUMIFS('DMS marginal prices'!$G$8:$G$70,'DMS marginal prices'!$F$8:$F$70,G22,'DMS marginal prices'!$D$8:$D$70,"SUPELC")*0.7+SUMIFS('DMS marginal prices'!$G$8:$G$70,'DMS marginal prices'!$F$8:$F$70,G22,'DMS marginal prices'!$D$8:$D$70,E18)*M22)</f>
        <v>-101.95856308881289</v>
      </c>
      <c r="AG22" s="82">
        <f>SUM(AC22:AF22)*1000/K19</f>
        <v>-653.95928974329718</v>
      </c>
      <c r="AH22" s="75"/>
      <c r="AI22" s="75"/>
      <c r="AJ22" s="75"/>
      <c r="AK22" s="66">
        <v>0.53500000000000003</v>
      </c>
      <c r="AL22" s="66">
        <v>14.080499999999999</v>
      </c>
      <c r="AM22" s="66">
        <v>0.45891999999999999</v>
      </c>
      <c r="AN22" s="66">
        <v>4.552777777777778</v>
      </c>
      <c r="AO22" s="67">
        <v>1.01</v>
      </c>
      <c r="AP22" s="68" t="s">
        <v>25</v>
      </c>
      <c r="AQ22" s="68">
        <f>1/AO22</f>
        <v>0.99009900990099009</v>
      </c>
      <c r="AR22" s="67">
        <v>0.15</v>
      </c>
      <c r="AS22" s="66">
        <f>(AK22+AK22*AQ22)/(1+AQ22*AR22)</f>
        <v>0.92702586206896576</v>
      </c>
      <c r="AT22" s="46">
        <f>AS22-AK22+J22</f>
        <v>0.82702586206896578</v>
      </c>
      <c r="AV22" s="46">
        <f>($AT22-$J22)/($J22-($AT22)*$N22)</f>
        <v>1.2607517379521627</v>
      </c>
      <c r="AW22" s="66">
        <v>35</v>
      </c>
      <c r="AX22" s="66">
        <v>2</v>
      </c>
      <c r="AY22" s="66">
        <v>0.8</v>
      </c>
    </row>
    <row r="23" spans="1:51" ht="30.6" customHeight="1">
      <c r="A23" s="75" t="str">
        <f>"ECCCS"&amp;RIGHT(C23,3)&amp;"OXCN1"</f>
        <v>ECCCSWPEOXCN1</v>
      </c>
      <c r="B23" s="75" t="s">
        <v>307</v>
      </c>
      <c r="C23" s="66" t="s">
        <v>182</v>
      </c>
      <c r="D23" s="75"/>
      <c r="E23" s="76" t="s">
        <v>17</v>
      </c>
      <c r="F23" s="76"/>
      <c r="G23" s="75">
        <v>2013</v>
      </c>
      <c r="H23" s="74">
        <v>2025</v>
      </c>
      <c r="I23" s="75"/>
      <c r="J23" s="67">
        <f>AK23-CCS!$L$111/100</f>
        <v>0.37</v>
      </c>
      <c r="K23" s="75"/>
      <c r="L23" s="75"/>
      <c r="M23" s="68">
        <f>(AT23-J23)/J23</f>
        <v>1.1741741741741738</v>
      </c>
      <c r="N23" s="67">
        <v>0.15</v>
      </c>
      <c r="O23" s="69">
        <f>AL23+CCS!L$114/1000*7.45</f>
        <v>25.628</v>
      </c>
      <c r="P23" s="69">
        <f>O23*CCS!C$119/100</f>
        <v>0.64069999999999994</v>
      </c>
      <c r="Q23" s="69">
        <f>MAX(AN23, AN23+CCS!$L$120/3.6*7.45)</f>
        <v>4.1388888888888893</v>
      </c>
      <c r="R23" s="68">
        <v>3.1536000000000002E-2</v>
      </c>
      <c r="S23" s="67">
        <v>0.95</v>
      </c>
      <c r="T23" s="68">
        <v>1</v>
      </c>
      <c r="U23" s="62">
        <v>40</v>
      </c>
      <c r="V23" s="69">
        <v>4</v>
      </c>
      <c r="W23" s="69"/>
      <c r="X23" s="69">
        <f t="shared" si="3"/>
        <v>38</v>
      </c>
      <c r="Y23" s="69">
        <f t="shared" si="3"/>
        <v>2</v>
      </c>
      <c r="Z23" s="69">
        <f t="shared" si="3"/>
        <v>0.8</v>
      </c>
      <c r="AA23" s="69">
        <f t="shared" si="3"/>
        <v>0</v>
      </c>
      <c r="AB23" s="75"/>
      <c r="AC23" s="82">
        <f>-1*PMT($AC$1,U23,O23*1000000)/R23*S23/1000000</f>
        <v>39.005428246638061</v>
      </c>
      <c r="AD23" s="82">
        <f>P23*1000000/R23*S23/1000000</f>
        <v>19.300640537798067</v>
      </c>
      <c r="AE23" s="91">
        <f>SUMIFS('DMS marginal prices'!$G$8:$G$70,'DMS marginal prices'!$F$8:$F$70,G23,'DMS marginal prices'!$D$8:$D$70,C23)/J23</f>
        <v>0</v>
      </c>
      <c r="AF23" s="91">
        <f>SUMIFS('DMS marginal prices'!$G$8:$G$70,'DMS marginal prices'!$F$8:$F$70,G23,'DMS marginal prices'!$D$8:$D$70,"SUPELC")*0.7+SUMIFS('DMS marginal prices'!$G$8:$G$70,'DMS marginal prices'!$F$8:$F$70,G24,'DMS marginal prices'!$D$8:$D$70,E24)*M23</f>
        <v>0</v>
      </c>
      <c r="AG23" s="82">
        <f>SUM(AC23:AF25)*1000/K25</f>
        <v>684.82580202532449</v>
      </c>
      <c r="AH23" s="75"/>
      <c r="AI23" s="75"/>
      <c r="AJ23" s="75"/>
      <c r="AK23" s="67">
        <v>0.46</v>
      </c>
      <c r="AL23" s="69">
        <v>15.198</v>
      </c>
      <c r="AM23" s="69">
        <v>0.42614000000000002</v>
      </c>
      <c r="AN23" s="69">
        <v>4.1388888888888893</v>
      </c>
      <c r="AO23" s="67">
        <v>0.75</v>
      </c>
      <c r="AP23" s="68" t="s">
        <v>25</v>
      </c>
      <c r="AQ23" s="68">
        <f>1/AO23</f>
        <v>1.3333333333333333</v>
      </c>
      <c r="AR23" s="67">
        <v>0.15</v>
      </c>
      <c r="AS23" s="66">
        <f>(AK23+AK23*AQ23)/(1+AQ23*AR23)</f>
        <v>0.89444444444444438</v>
      </c>
      <c r="AT23" s="46">
        <f>AS23-AK23+J23</f>
        <v>0.8044444444444443</v>
      </c>
      <c r="AV23" s="46">
        <f>($AT23-$J23)/($J23-($AT23)*$N23)</f>
        <v>1.7424242424242418</v>
      </c>
      <c r="AW23" s="66">
        <v>38</v>
      </c>
      <c r="AX23" s="66">
        <v>2</v>
      </c>
      <c r="AY23" s="66">
        <v>0.8</v>
      </c>
    </row>
    <row r="24" spans="1:51" ht="30.6" customHeight="1">
      <c r="A24" s="75"/>
      <c r="B24" s="75"/>
      <c r="C24" s="75"/>
      <c r="D24" s="75"/>
      <c r="E24" s="195" t="s">
        <v>601</v>
      </c>
      <c r="F24" s="76"/>
      <c r="G24" s="74">
        <v>2013</v>
      </c>
      <c r="H24" s="75"/>
      <c r="I24" s="75"/>
      <c r="K24" s="75"/>
      <c r="L24" s="75"/>
      <c r="R24" s="75"/>
      <c r="S24" s="75"/>
      <c r="T24" s="75"/>
      <c r="U24" s="75"/>
      <c r="V24" s="75"/>
      <c r="W24" s="75"/>
      <c r="X24" s="69"/>
      <c r="Y24" s="69"/>
      <c r="Z24" s="69"/>
      <c r="AA24" s="69"/>
      <c r="AB24" s="75"/>
      <c r="AC24" s="91"/>
      <c r="AD24" s="91"/>
      <c r="AF24" s="91"/>
      <c r="AG24" s="91"/>
      <c r="AH24" s="75"/>
      <c r="AI24" s="75"/>
      <c r="AJ24" s="75"/>
      <c r="AO24" s="67"/>
      <c r="AP24" s="68"/>
      <c r="AQ24" s="68"/>
      <c r="AR24" s="67"/>
      <c r="AS24" s="67"/>
    </row>
    <row r="25" spans="1:51" ht="30.6" customHeight="1">
      <c r="A25" s="75"/>
      <c r="B25" s="75"/>
      <c r="C25" s="75"/>
      <c r="D25" s="75"/>
      <c r="E25" s="76"/>
      <c r="F25" s="74" t="str">
        <f>ELC_CCS_Comm!$C$14</f>
        <v>CO2BIOE</v>
      </c>
      <c r="G25" s="74">
        <v>2013</v>
      </c>
      <c r="H25" s="75"/>
      <c r="I25" s="75"/>
      <c r="K25" s="74">
        <f>Emissions!C11*CCS!$C$112/100</f>
        <v>85.14</v>
      </c>
      <c r="R25" s="75"/>
      <c r="S25" s="75"/>
      <c r="T25" s="75"/>
      <c r="U25" s="75"/>
      <c r="V25" s="75"/>
      <c r="W25" s="75"/>
      <c r="X25" s="69"/>
      <c r="Y25" s="69"/>
      <c r="Z25" s="69"/>
      <c r="AA25" s="69"/>
      <c r="AB25" s="75"/>
      <c r="AC25" s="82"/>
      <c r="AD25" s="82"/>
      <c r="AE25" s="91"/>
      <c r="AF25" s="91"/>
      <c r="AG25" s="82"/>
      <c r="AH25" s="75"/>
      <c r="AI25" s="75"/>
      <c r="AJ25" s="75"/>
      <c r="AO25" s="67"/>
      <c r="AP25" s="68"/>
      <c r="AQ25" s="68"/>
      <c r="AR25" s="67"/>
      <c r="AS25" s="67"/>
      <c r="AT25" s="80"/>
    </row>
    <row r="26" spans="1:51" ht="30.6" customHeight="1">
      <c r="A26" s="75"/>
      <c r="B26" s="75"/>
      <c r="C26" s="75"/>
      <c r="D26" s="75"/>
      <c r="E26" s="76"/>
      <c r="F26" s="76"/>
      <c r="G26" s="75">
        <v>2020</v>
      </c>
      <c r="H26" s="75"/>
      <c r="I26" s="75"/>
      <c r="J26" s="67">
        <f>AK26-CCS!$M$111/100</f>
        <v>0.39500000000000002</v>
      </c>
      <c r="M26" s="68">
        <f>(AT26-J26)/J26</f>
        <v>1.0542130162383327</v>
      </c>
      <c r="N26" s="67">
        <v>0.15</v>
      </c>
      <c r="O26" s="69">
        <f>AL26+CCS!M$114/1000*7.45</f>
        <v>23.3185</v>
      </c>
      <c r="P26" s="69">
        <f>O26*CCS!D$119/100</f>
        <v>0.58296250000000005</v>
      </c>
      <c r="Q26" s="69">
        <f>MAX(AN26, AN26+CCS!$L$120/3.6*7.45)</f>
        <v>4.552777777777778</v>
      </c>
      <c r="R26" s="75"/>
      <c r="S26" s="75"/>
      <c r="T26" s="75"/>
      <c r="U26" s="75"/>
      <c r="V26" s="75"/>
      <c r="W26" s="75"/>
      <c r="X26" s="69">
        <f t="shared" ref="X26:AA29" si="4">AW26</f>
        <v>35</v>
      </c>
      <c r="Y26" s="69">
        <f t="shared" si="4"/>
        <v>2</v>
      </c>
      <c r="Z26" s="69">
        <f t="shared" si="4"/>
        <v>0.8</v>
      </c>
      <c r="AA26" s="69">
        <f t="shared" si="4"/>
        <v>0</v>
      </c>
      <c r="AB26" s="75"/>
      <c r="AC26" s="82">
        <f>-1*PMT($AC$1,U23,O26*1000000)/R23*S23/1000000</f>
        <v>35.490404189528242</v>
      </c>
      <c r="AD26" s="82">
        <f>P26*1000000/R23*S23/1000000</f>
        <v>17.561338628868594</v>
      </c>
      <c r="AE26" s="91">
        <f>SUMIFS('DMS marginal prices'!$G$8:$G$70,'DMS marginal prices'!$F$8:$F$70,G26,'DMS marginal prices'!$D$8:$D$70,C23)/J26</f>
        <v>0</v>
      </c>
      <c r="AF26" s="91">
        <f>-1*(SUMIFS('DMS marginal prices'!$G$8:$G$70,'DMS marginal prices'!$F$8:$F$70,G26,'DMS marginal prices'!$D$8:$D$70,"SUPELC")*0.7+SUMIFS('DMS marginal prices'!$G$8:$G$70,'DMS marginal prices'!$F$8:$F$70,G26,'DMS marginal prices'!$D$8:$D$70,E24)*M26)</f>
        <v>-108.04580564502835</v>
      </c>
      <c r="AG26" s="82">
        <f>SUM(AC26:AF26)*1000/K25</f>
        <v>-645.92509779928957</v>
      </c>
      <c r="AH26" s="75"/>
      <c r="AI26" s="75"/>
      <c r="AJ26" s="75"/>
      <c r="AK26" s="66">
        <v>0.48499999999999999</v>
      </c>
      <c r="AL26" s="66">
        <v>15.123499999999998</v>
      </c>
      <c r="AM26" s="66">
        <v>0.45891999999999999</v>
      </c>
      <c r="AN26" s="66">
        <v>4.552777777777778</v>
      </c>
      <c r="AO26" s="67">
        <v>0.84</v>
      </c>
      <c r="AP26" s="68" t="s">
        <v>25</v>
      </c>
      <c r="AQ26" s="68">
        <f>1/AO26</f>
        <v>1.1904761904761905</v>
      </c>
      <c r="AR26" s="67">
        <v>0.15</v>
      </c>
      <c r="AS26" s="66">
        <f>(AK26+AK26*AQ26)/(1+AQ26*AR26)</f>
        <v>0.90141414141414145</v>
      </c>
      <c r="AT26" s="46">
        <f>AS26-AK26+J26</f>
        <v>0.81141414141414148</v>
      </c>
      <c r="AV26" s="46">
        <f>($AT26-$J26)/($J26-($AT26)*$N26)</f>
        <v>1.5237197612315427</v>
      </c>
      <c r="AW26" s="66">
        <v>35</v>
      </c>
      <c r="AX26" s="66">
        <v>2</v>
      </c>
      <c r="AY26" s="66">
        <v>0.8</v>
      </c>
    </row>
    <row r="27" spans="1:51" ht="30.6" customHeight="1">
      <c r="A27" s="75"/>
      <c r="B27" s="75"/>
      <c r="C27" s="75"/>
      <c r="D27" s="75"/>
      <c r="E27" s="75"/>
      <c r="F27" s="75"/>
      <c r="G27" s="75">
        <v>2030</v>
      </c>
      <c r="H27" s="75"/>
      <c r="I27" s="75"/>
      <c r="J27" s="67">
        <f>AK27-CCS!$N$111/100</f>
        <v>0.43000000000000005</v>
      </c>
      <c r="L27" s="75"/>
      <c r="M27" s="68">
        <f>(AT27-J27)/J27</f>
        <v>0.88612670408981553</v>
      </c>
      <c r="N27" s="67">
        <v>0.15</v>
      </c>
      <c r="O27" s="69">
        <f>AL27+CCS!N$114/1000*7.45</f>
        <v>21.902999999999999</v>
      </c>
      <c r="P27" s="69">
        <f>O27*CCS!E$119/100</f>
        <v>0.54757499999999992</v>
      </c>
      <c r="Q27" s="69">
        <f>MAX(AN27, AN27+CCS!$L$120/3.6*7.45)</f>
        <v>4.552777777777778</v>
      </c>
      <c r="R27" s="75"/>
      <c r="S27" s="75"/>
      <c r="T27" s="75"/>
      <c r="U27" s="75"/>
      <c r="V27" s="75"/>
      <c r="W27" s="75"/>
      <c r="X27" s="69">
        <f t="shared" si="4"/>
        <v>35</v>
      </c>
      <c r="Y27" s="69">
        <f t="shared" si="4"/>
        <v>2</v>
      </c>
      <c r="Z27" s="69">
        <f t="shared" si="4"/>
        <v>0.8</v>
      </c>
      <c r="AA27" s="69">
        <f t="shared" si="4"/>
        <v>0</v>
      </c>
      <c r="AB27" s="75"/>
      <c r="AC27" s="82">
        <f>-1*PMT($AC$1,U23,O27*1000000)/R23*S23/1000000</f>
        <v>33.336034606138355</v>
      </c>
      <c r="AD27" s="82">
        <f>P27*1000000/R23*S23/1000000</f>
        <v>16.495314878234396</v>
      </c>
      <c r="AE27" s="91">
        <f>SUMIFS('DMS marginal prices'!$G$8:$G$70,'DMS marginal prices'!$F$8:$F$70,G27,'DMS marginal prices'!$D$8:$D$70,C23)/J27</f>
        <v>0</v>
      </c>
      <c r="AF27" s="91">
        <f>-1*(SUMIFS('DMS marginal prices'!$G$8:$G$70,'DMS marginal prices'!$F$8:$F$70,G27,'DMS marginal prices'!$D$8:$D$70,"SUPELC")*0.7+SUMIFS('DMS marginal prices'!$G$8:$G$70,'DMS marginal prices'!$F$8:$F$70,G27,'DMS marginal prices'!$D$8:$D$70,E24)*M27)</f>
        <v>-135.03782063921599</v>
      </c>
      <c r="AG27" s="82">
        <f>SUM(AC27:AF27)*1000/K25</f>
        <v>-1000.7807276819736</v>
      </c>
      <c r="AH27" s="75"/>
      <c r="AI27" s="75"/>
      <c r="AJ27" s="75"/>
      <c r="AK27" s="66">
        <v>0.52</v>
      </c>
      <c r="AL27" s="66">
        <v>14.8255</v>
      </c>
      <c r="AM27" s="66">
        <v>0.45891999999999999</v>
      </c>
      <c r="AN27" s="66">
        <v>4.552777777777778</v>
      </c>
      <c r="AO27" s="67">
        <v>1.01</v>
      </c>
      <c r="AP27" s="68" t="s">
        <v>25</v>
      </c>
      <c r="AQ27" s="68">
        <f>1/AO27</f>
        <v>0.99009900990099009</v>
      </c>
      <c r="AR27" s="67">
        <v>0.15</v>
      </c>
      <c r="AS27" s="66">
        <f>(AK27+AK27*AQ27)/(1+AQ27*AR27)</f>
        <v>0.90103448275862075</v>
      </c>
      <c r="AT27" s="46">
        <f>AS27-AK27+J27</f>
        <v>0.81103448275862078</v>
      </c>
      <c r="AV27" s="46">
        <f>($AT27-$J27)/($J27-($AT27)*$N27)</f>
        <v>1.2357414448669199</v>
      </c>
      <c r="AW27" s="66">
        <v>35</v>
      </c>
      <c r="AX27" s="66">
        <v>2</v>
      </c>
      <c r="AY27" s="66">
        <v>0.8</v>
      </c>
    </row>
    <row r="28" spans="1:51" ht="30.6" customHeight="1">
      <c r="A28" s="75"/>
      <c r="B28" s="75"/>
      <c r="C28" s="75"/>
      <c r="D28" s="75"/>
      <c r="E28" s="75"/>
      <c r="F28" s="75"/>
      <c r="G28" s="75">
        <v>2050</v>
      </c>
      <c r="H28" s="75"/>
      <c r="I28" s="75"/>
      <c r="J28" s="67">
        <f>AK28-CCS!$P$111/100</f>
        <v>0.44500000000000006</v>
      </c>
      <c r="L28" s="75"/>
      <c r="M28" s="68">
        <f>(AT28-J28)/J28</f>
        <v>0.88095699341340605</v>
      </c>
      <c r="N28" s="67">
        <v>0.15</v>
      </c>
      <c r="O28" s="69">
        <f>AL28+CCS!P$114/1000*7.45</f>
        <v>21.157999999999998</v>
      </c>
      <c r="P28" s="69">
        <f>O28*CCS!G$119/100</f>
        <v>0.52894999999999992</v>
      </c>
      <c r="Q28" s="69">
        <f>MAX(AN28, AN28+CCS!$L$120/3.6*7.45)</f>
        <v>4.552777777777778</v>
      </c>
      <c r="R28" s="75"/>
      <c r="S28" s="75"/>
      <c r="T28" s="75"/>
      <c r="U28" s="75"/>
      <c r="V28" s="75"/>
      <c r="W28" s="75"/>
      <c r="X28" s="69">
        <f t="shared" si="4"/>
        <v>35</v>
      </c>
      <c r="Y28" s="69">
        <f t="shared" si="4"/>
        <v>2</v>
      </c>
      <c r="Z28" s="69">
        <f t="shared" si="4"/>
        <v>0.8</v>
      </c>
      <c r="AA28" s="69">
        <f t="shared" si="4"/>
        <v>0</v>
      </c>
      <c r="AB28" s="75"/>
      <c r="AC28" s="82">
        <f>-1*PMT($AC$1,U23,O28*1000000)/R23*S23/1000000</f>
        <v>32.202155878038397</v>
      </c>
      <c r="AD28" s="82">
        <f>P28*1000000/R23*S23/1000000</f>
        <v>15.93424974632166</v>
      </c>
      <c r="AE28" s="91">
        <f>SUMIFS('DMS marginal prices'!$G$8:$G$70,'DMS marginal prices'!$F$8:$F$70,G28,'DMS marginal prices'!$D$8:$D$70,C23)/J28</f>
        <v>0</v>
      </c>
      <c r="AF28" s="91">
        <f>-1*(SUMIFS('DMS marginal prices'!$G$8:$G$70,'DMS marginal prices'!$F$8:$F$70,G28,'DMS marginal prices'!$D$8:$D$70,"SUPELC")*0.7+SUMIFS('DMS marginal prices'!$G$8:$G$70,'DMS marginal prices'!$F$8:$F$70,G28,'DMS marginal prices'!$D$8:$D$70,E24)*M28)</f>
        <v>-101.31729902621389</v>
      </c>
      <c r="AG28" s="82">
        <f>SUM(AC28:AF28)*1000/K25</f>
        <v>-624.62876910798479</v>
      </c>
      <c r="AH28" s="75"/>
      <c r="AI28" s="75"/>
      <c r="AJ28" s="75"/>
      <c r="AK28" s="66">
        <v>0.53500000000000003</v>
      </c>
      <c r="AL28" s="66">
        <v>14.080499999999999</v>
      </c>
      <c r="AM28" s="66">
        <v>0.45891999999999999</v>
      </c>
      <c r="AN28" s="66">
        <v>4.552777777777778</v>
      </c>
      <c r="AO28" s="67">
        <v>1.01</v>
      </c>
      <c r="AP28" s="68" t="s">
        <v>25</v>
      </c>
      <c r="AQ28" s="68">
        <f>1/AO28</f>
        <v>0.99009900990099009</v>
      </c>
      <c r="AR28" s="67">
        <v>0.15</v>
      </c>
      <c r="AS28" s="66">
        <f>(AK28+AK28*AQ28)/(1+AQ28*AR28)</f>
        <v>0.92702586206896576</v>
      </c>
      <c r="AT28" s="46">
        <f>AS28-AK28+J28</f>
        <v>0.83702586206896579</v>
      </c>
      <c r="AV28" s="46">
        <f>($AT28-$J28)/($J28-($AT28)*$N28)</f>
        <v>1.2272049546966401</v>
      </c>
      <c r="AW28" s="66">
        <v>35</v>
      </c>
      <c r="AX28" s="66">
        <v>2</v>
      </c>
      <c r="AY28" s="66">
        <v>0.8</v>
      </c>
    </row>
    <row r="29" spans="1:51" ht="30.6" customHeight="1">
      <c r="A29" s="75" t="str">
        <f>"ECCCS"&amp;RIGHT(C29,3)&amp;"POCN1"</f>
        <v>ECCCSNGAPOCN1</v>
      </c>
      <c r="B29" s="75" t="s">
        <v>195</v>
      </c>
      <c r="C29" s="75" t="s">
        <v>597</v>
      </c>
      <c r="D29" s="75"/>
      <c r="E29" s="76" t="s">
        <v>17</v>
      </c>
      <c r="F29" s="76"/>
      <c r="G29" s="75">
        <v>2013</v>
      </c>
      <c r="H29" s="74">
        <v>2025</v>
      </c>
      <c r="I29" s="75"/>
      <c r="J29" s="67">
        <f>AK29-CCS!$L$21/100</f>
        <v>0.49999999999999994</v>
      </c>
      <c r="L29" s="75"/>
      <c r="M29" s="68">
        <f>(AT29-J29)/J29</f>
        <v>0.54383693045563564</v>
      </c>
      <c r="N29" s="67">
        <v>0.15</v>
      </c>
      <c r="O29" s="69">
        <f>AL29+CCS!L$24/1000*7.45</f>
        <v>11.547499999999999</v>
      </c>
      <c r="P29" s="69">
        <f>O29*CCS!C$29/100</f>
        <v>0.28868749999999999</v>
      </c>
      <c r="Q29" s="69">
        <f>AN29+CCS!$L$30/3.6*7.45</f>
        <v>13.451388888888889</v>
      </c>
      <c r="R29" s="68">
        <v>3.1536000000000002E-2</v>
      </c>
      <c r="S29" s="75">
        <v>0.9</v>
      </c>
      <c r="T29" s="68">
        <v>1</v>
      </c>
      <c r="U29" s="75">
        <v>25</v>
      </c>
      <c r="V29" s="75">
        <v>2.5</v>
      </c>
      <c r="W29" s="75"/>
      <c r="X29" s="69">
        <f t="shared" si="4"/>
        <v>60</v>
      </c>
      <c r="Y29" s="69">
        <f t="shared" si="4"/>
        <v>6</v>
      </c>
      <c r="Z29" s="69">
        <f t="shared" si="4"/>
        <v>1</v>
      </c>
      <c r="AA29" s="69">
        <f t="shared" si="4"/>
        <v>0</v>
      </c>
      <c r="AB29" s="75"/>
      <c r="AC29" s="82">
        <f>-1*PMT($AC$1,U29,O29*1000000)/R29*S29/1000000</f>
        <v>21.095266560404809</v>
      </c>
      <c r="AD29" s="82">
        <f>P29*1000000/R29*S29/1000000</f>
        <v>8.2387985159817347</v>
      </c>
      <c r="AE29" s="91">
        <f>SUMIFS('DMS marginal prices'!$G$8:$G$70,'DMS marginal prices'!$F$8:$F$70,G29,'DMS marginal prices'!$D$8:$D$70,C29)/J29</f>
        <v>0</v>
      </c>
      <c r="AF29" s="91">
        <f>SUMIFS('DMS marginal prices'!$G$8:$G$70,'DMS marginal prices'!$F$8:$F$70,G29,'DMS marginal prices'!$D$8:$D$70,"SUPELC")*0.7+SUMIFS('DMS marginal prices'!$G$8:$G$70,'DMS marginal prices'!$F$8:$F$70,G30,'DMS marginal prices'!$D$8:$D$70,E30)*M29</f>
        <v>0</v>
      </c>
      <c r="AG29" s="82">
        <f>SUM(AC29:AF31)*1000/K31</f>
        <v>592.05120596584095</v>
      </c>
      <c r="AH29" s="75"/>
      <c r="AI29" s="75"/>
      <c r="AJ29" s="75"/>
      <c r="AK29" s="67">
        <v>0.57999999999999996</v>
      </c>
      <c r="AL29" s="69">
        <v>6.7050000000000001</v>
      </c>
      <c r="AM29" s="69">
        <v>0.2235</v>
      </c>
      <c r="AN29" s="69">
        <v>9.3125</v>
      </c>
      <c r="AO29" s="69"/>
      <c r="AP29" s="74"/>
      <c r="AQ29" s="68">
        <v>0.60130718954248397</v>
      </c>
      <c r="AR29" s="67">
        <v>0.15</v>
      </c>
      <c r="AS29" s="66">
        <f>(AK29+AK29*AQ29)/(1+AQ29*AR29)</f>
        <v>0.85191846522781767</v>
      </c>
      <c r="AT29" s="46">
        <f>AS29-AK29+J29</f>
        <v>0.77191846522781771</v>
      </c>
      <c r="AV29" s="46">
        <f>($AT29-$J29)/($J29-($AT29)*$N29)</f>
        <v>0.70772985304260183</v>
      </c>
      <c r="AW29" s="66">
        <v>60</v>
      </c>
      <c r="AX29" s="66">
        <v>6</v>
      </c>
      <c r="AY29" s="66">
        <v>1</v>
      </c>
    </row>
    <row r="30" spans="1:51" ht="30.6" customHeight="1">
      <c r="B30" s="75"/>
      <c r="C30" s="75"/>
      <c r="D30" s="75"/>
      <c r="E30" s="195" t="s">
        <v>601</v>
      </c>
      <c r="F30" s="76"/>
      <c r="G30" s="74">
        <v>2013</v>
      </c>
      <c r="H30" s="75"/>
      <c r="I30" s="75"/>
      <c r="K30" s="75"/>
      <c r="L30" s="75"/>
      <c r="R30" s="68"/>
      <c r="S30" s="75"/>
      <c r="T30" s="68"/>
      <c r="U30" s="75"/>
      <c r="V30" s="75"/>
      <c r="W30" s="75"/>
      <c r="X30" s="69"/>
      <c r="Y30" s="69"/>
      <c r="Z30" s="69"/>
      <c r="AA30" s="69"/>
      <c r="AB30" s="75"/>
      <c r="AC30" s="91"/>
      <c r="AD30" s="91"/>
      <c r="AF30" s="91"/>
      <c r="AG30" s="91"/>
      <c r="AH30" s="75"/>
      <c r="AI30" s="75"/>
      <c r="AJ30" s="75"/>
      <c r="AK30" s="46"/>
      <c r="AL30" s="74"/>
      <c r="AM30" s="74"/>
      <c r="AN30" s="74"/>
      <c r="AO30" s="74"/>
      <c r="AP30" s="75"/>
      <c r="AQ30" s="74"/>
      <c r="AR30" s="67"/>
    </row>
    <row r="31" spans="1:51" ht="30.6" customHeight="1">
      <c r="A31" s="75"/>
      <c r="B31" s="75"/>
      <c r="C31" s="75"/>
      <c r="D31" s="75"/>
      <c r="E31" s="76"/>
      <c r="F31" s="74" t="str">
        <f>ELC_CCS_Comm!$C$15</f>
        <v>CO2FOSE</v>
      </c>
      <c r="G31" s="74">
        <v>2013</v>
      </c>
      <c r="H31" s="75"/>
      <c r="I31" s="75"/>
      <c r="K31" s="74">
        <f>Emissions!F11*CCS!$C$52/100</f>
        <v>49.546500000000009</v>
      </c>
      <c r="R31" s="68"/>
      <c r="S31" s="75"/>
      <c r="T31" s="68"/>
      <c r="U31" s="75"/>
      <c r="V31" s="75"/>
      <c r="W31" s="75"/>
      <c r="X31" s="69"/>
      <c r="Y31" s="69"/>
      <c r="Z31" s="69"/>
      <c r="AA31" s="69"/>
      <c r="AB31" s="75"/>
      <c r="AC31" s="82"/>
      <c r="AD31" s="82"/>
      <c r="AE31" s="91"/>
      <c r="AF31" s="91"/>
      <c r="AG31" s="82"/>
      <c r="AH31" s="75"/>
      <c r="AI31" s="75"/>
      <c r="AJ31" s="75"/>
      <c r="AK31" s="46"/>
      <c r="AL31" s="74"/>
      <c r="AM31" s="74"/>
      <c r="AN31" s="74"/>
      <c r="AO31" s="74"/>
      <c r="AP31" s="75"/>
      <c r="AQ31" s="74"/>
      <c r="AR31" s="67"/>
    </row>
    <row r="32" spans="1:51" ht="30.6" customHeight="1">
      <c r="A32" s="75"/>
      <c r="B32" s="75"/>
      <c r="C32" s="75"/>
      <c r="D32" s="75"/>
      <c r="E32" s="76"/>
      <c r="F32" s="76"/>
      <c r="G32" s="75">
        <v>2020</v>
      </c>
      <c r="H32" s="75"/>
      <c r="I32" s="75"/>
      <c r="J32" s="67">
        <f>AK32-CCS!$M$21/100</f>
        <v>0.51</v>
      </c>
      <c r="M32" s="68">
        <f>(AT32-J32)/J32</f>
        <v>0.50427350427350437</v>
      </c>
      <c r="N32" s="67">
        <v>0.15</v>
      </c>
      <c r="O32" s="69">
        <f>AL32+CCS!M$24/1000*7.45</f>
        <v>11.3985</v>
      </c>
      <c r="P32" s="69">
        <f>O32*CCS!D$29/100</f>
        <v>0.28496250000000001</v>
      </c>
      <c r="Q32" s="69">
        <f>AN32+CCS!$M$30/3.6*7.45</f>
        <v>13.244444444444445</v>
      </c>
      <c r="R32" s="68"/>
      <c r="S32" s="75"/>
      <c r="T32" s="68"/>
      <c r="U32" s="75"/>
      <c r="V32" s="75"/>
      <c r="W32" s="75"/>
      <c r="X32" s="69">
        <f t="shared" ref="X32:AA35" si="5">AW32</f>
        <v>60</v>
      </c>
      <c r="Y32" s="69">
        <f t="shared" si="5"/>
        <v>6</v>
      </c>
      <c r="Z32" s="69">
        <f t="shared" si="5"/>
        <v>1</v>
      </c>
      <c r="AA32" s="69">
        <f t="shared" si="5"/>
        <v>0</v>
      </c>
      <c r="AB32" s="75"/>
      <c r="AC32" s="82">
        <f>-1*PMT($AC$1,U29,O32*1000000)/R29*S29/1000000</f>
        <v>20.82306957252862</v>
      </c>
      <c r="AD32" s="82">
        <f>P32*1000000/R29*S29/1000000</f>
        <v>8.1324914383561655</v>
      </c>
      <c r="AE32" s="91">
        <f>SUMIFS('DMS marginal prices'!$G$8:$G$70,'DMS marginal prices'!$F$8:$F$70,G32,'DMS marginal prices'!$D$8:$D$70,C29)/J32</f>
        <v>0</v>
      </c>
      <c r="AF32" s="91">
        <f>-1*(SUMIFS('DMS marginal prices'!$G$8:$G$70,'DMS marginal prices'!$F$8:$F$70,G32,'DMS marginal prices'!$D$8:$D$70,"SUPELC")*0.7+SUMIFS('DMS marginal prices'!$G$8:$G$70,'DMS marginal prices'!$F$8:$F$70,G32,'DMS marginal prices'!$D$8:$D$70,E30)*M32)</f>
        <v>-79.315915763109047</v>
      </c>
      <c r="AG32" s="82">
        <f>SUM(AC32:AF32)*1000/K31</f>
        <v>-1016.426079586333</v>
      </c>
      <c r="AH32" s="75"/>
      <c r="AI32" s="75"/>
      <c r="AJ32" s="75"/>
      <c r="AK32" s="67">
        <v>0.59</v>
      </c>
      <c r="AL32" s="69">
        <v>6.556</v>
      </c>
      <c r="AM32" s="69">
        <v>0.21828500000000001</v>
      </c>
      <c r="AN32" s="69">
        <v>9.1055555555555561</v>
      </c>
      <c r="AO32" s="69"/>
      <c r="AP32" s="74"/>
      <c r="AQ32" s="68">
        <v>0.55555555555555558</v>
      </c>
      <c r="AR32" s="67">
        <v>0.15</v>
      </c>
      <c r="AS32" s="66">
        <f>(AK32+AK32*AQ32)/(1+AQ32*AR32)</f>
        <v>0.84717948717948721</v>
      </c>
      <c r="AT32" s="46">
        <f>AS32-AK32+J32</f>
        <v>0.76717948717948725</v>
      </c>
      <c r="AV32" s="46">
        <f>($AT32-$J32)/($J32-($AT32)*$N32)</f>
        <v>0.65121412803532019</v>
      </c>
      <c r="AW32" s="66">
        <v>60</v>
      </c>
      <c r="AX32" s="66">
        <v>6</v>
      </c>
      <c r="AY32" s="66">
        <v>1</v>
      </c>
    </row>
    <row r="33" spans="1:52" ht="30.6" customHeight="1">
      <c r="A33" s="75"/>
      <c r="B33" s="75"/>
      <c r="C33" s="75"/>
      <c r="D33" s="75"/>
      <c r="E33" s="75"/>
      <c r="F33" s="75"/>
      <c r="G33" s="75">
        <v>2030</v>
      </c>
      <c r="H33" s="75"/>
      <c r="I33" s="75"/>
      <c r="J33" s="67">
        <f>AK33-CCS!$N$21/100</f>
        <v>0.54</v>
      </c>
      <c r="M33" s="68">
        <f>(AT33-J33)/J33</f>
        <v>0.44659776055124911</v>
      </c>
      <c r="N33" s="67">
        <v>0.15</v>
      </c>
      <c r="O33" s="69">
        <f>AL33+CCS!N$24/1000*7.45</f>
        <v>11.026</v>
      </c>
      <c r="P33" s="69">
        <f>O33*CCS!E$29/100</f>
        <v>0.27564999999999995</v>
      </c>
      <c r="Q33" s="69">
        <f>AN33+CCS!$N$30/3.6*7.45</f>
        <v>12.830555555555556</v>
      </c>
      <c r="R33" s="75"/>
      <c r="S33" s="75"/>
      <c r="T33" s="75"/>
      <c r="U33" s="75"/>
      <c r="V33" s="75"/>
      <c r="W33" s="75"/>
      <c r="X33" s="69">
        <f t="shared" si="5"/>
        <v>60</v>
      </c>
      <c r="Y33" s="69">
        <f t="shared" si="5"/>
        <v>6</v>
      </c>
      <c r="Z33" s="69">
        <f t="shared" si="5"/>
        <v>1</v>
      </c>
      <c r="AA33" s="69">
        <f t="shared" si="5"/>
        <v>0</v>
      </c>
      <c r="AB33" s="75"/>
      <c r="AC33" s="82">
        <f>-1*PMT($AC$1,U29,O33*1000000)/R29*S29/1000000</f>
        <v>20.142577102838139</v>
      </c>
      <c r="AD33" s="82">
        <f>P33*1000000/R29*S29/1000000</f>
        <v>7.8667237442922353</v>
      </c>
      <c r="AE33" s="91">
        <f>SUMIFS('DMS marginal prices'!$G$8:$G$70,'DMS marginal prices'!$F$8:$F$70,G33,'DMS marginal prices'!$D$8:$D$70,C29)/J33</f>
        <v>0</v>
      </c>
      <c r="AF33" s="91">
        <f>-1*(SUMIFS('DMS marginal prices'!$G$8:$G$70,'DMS marginal prices'!$F$8:$F$70,G33,'DMS marginal prices'!$D$8:$D$70,"SUPELC")*0.7+SUMIFS('DMS marginal prices'!$G$8:$G$70,'DMS marginal prices'!$F$8:$F$70,G33,'DMS marginal prices'!$D$8:$D$70,E30)*M33)</f>
        <v>-115.86459800940224</v>
      </c>
      <c r="AG33" s="82">
        <f>SUM(AC33:AF33)*1000/K31</f>
        <v>-1773.1887653471354</v>
      </c>
      <c r="AH33" s="75"/>
      <c r="AI33" s="75"/>
      <c r="AJ33" s="75"/>
      <c r="AK33" s="67">
        <v>0.61</v>
      </c>
      <c r="AL33" s="69">
        <v>6.1834999999999996</v>
      </c>
      <c r="AM33" s="69">
        <v>0.20710999999999999</v>
      </c>
      <c r="AN33" s="69">
        <v>8.6916666666666664</v>
      </c>
      <c r="AO33" s="69"/>
      <c r="AP33" s="74"/>
      <c r="AQ33" s="68">
        <v>0.5</v>
      </c>
      <c r="AR33" s="67">
        <v>0.15</v>
      </c>
      <c r="AS33" s="66">
        <f>(AK33+AK33*AQ33)/(1+AQ33*AR33)</f>
        <v>0.85116279069767453</v>
      </c>
      <c r="AT33" s="46">
        <f>AS33-AK33+J33</f>
        <v>0.78116279069767458</v>
      </c>
      <c r="AV33" s="46">
        <f>($AT33-$J33)/($J33-($AT33)*$N33)</f>
        <v>0.57035998129967302</v>
      </c>
      <c r="AW33" s="66">
        <v>60</v>
      </c>
      <c r="AX33" s="66">
        <v>6</v>
      </c>
      <c r="AY33" s="66">
        <v>1</v>
      </c>
    </row>
    <row r="34" spans="1:52" ht="30.6" customHeight="1">
      <c r="A34" s="75"/>
      <c r="B34" s="75"/>
      <c r="C34" s="75"/>
      <c r="D34" s="75"/>
      <c r="E34" s="75"/>
      <c r="F34" s="75"/>
      <c r="G34" s="75">
        <v>2050</v>
      </c>
      <c r="H34" s="75"/>
      <c r="I34" s="75"/>
      <c r="J34" s="67">
        <f>AK34-CCS!$P$21/100</f>
        <v>0.56000000000000005</v>
      </c>
      <c r="M34" s="68">
        <f>(AT34-J34)/J34</f>
        <v>0.40691489361702132</v>
      </c>
      <c r="N34" s="67">
        <v>0.15</v>
      </c>
      <c r="O34" s="69">
        <f>AL34+CCS!P$24/1000*7.45</f>
        <v>10.802500000000002</v>
      </c>
      <c r="P34" s="69">
        <f>O34*CCS!G$29/100</f>
        <v>0.27006250000000004</v>
      </c>
      <c r="Q34" s="69">
        <f>AN34+CCS!$P$30/3.6*7.45</f>
        <v>12.416666666666668</v>
      </c>
      <c r="R34" s="75"/>
      <c r="S34" s="75"/>
      <c r="T34" s="75"/>
      <c r="U34" s="75"/>
      <c r="V34" s="75"/>
      <c r="W34" s="75"/>
      <c r="X34" s="69">
        <f t="shared" si="5"/>
        <v>60</v>
      </c>
      <c r="Y34" s="69">
        <f t="shared" si="5"/>
        <v>6</v>
      </c>
      <c r="Z34" s="69">
        <f t="shared" si="5"/>
        <v>1</v>
      </c>
      <c r="AA34" s="69">
        <f t="shared" si="5"/>
        <v>0</v>
      </c>
      <c r="AB34" s="75"/>
      <c r="AC34" s="82">
        <f>-1*PMT($AC$1,U29,O34*1000000)/R29*S29/1000000</f>
        <v>19.734281621023861</v>
      </c>
      <c r="AD34" s="82">
        <f>P34*1000000/R29*S29/1000000</f>
        <v>7.7072631278538815</v>
      </c>
      <c r="AE34" s="91">
        <f>SUMIFS('DMS marginal prices'!$G$8:$G$70,'DMS marginal prices'!$F$8:$F$70,G34,'DMS marginal prices'!$D$8:$D$70,C29)/J34</f>
        <v>0</v>
      </c>
      <c r="AF34" s="91">
        <f>-1*(SUMIFS('DMS marginal prices'!$G$8:$G$70,'DMS marginal prices'!$F$8:$F$70,G34,'DMS marginal prices'!$D$8:$D$70,"SUPELC")*0.7+SUMIFS('DMS marginal prices'!$G$8:$G$70,'DMS marginal prices'!$F$8:$F$70,G34,'DMS marginal prices'!$D$8:$D$70,E30)*M34)</f>
        <v>-86.307033849982901</v>
      </c>
      <c r="AG34" s="82">
        <f>SUM(AC34:AF34)*1000/K31</f>
        <v>-1188.0857194979492</v>
      </c>
      <c r="AH34" s="75"/>
      <c r="AI34" s="75"/>
      <c r="AJ34" s="75"/>
      <c r="AK34" s="67">
        <v>0.63</v>
      </c>
      <c r="AL34" s="69">
        <v>5.9600000000000009</v>
      </c>
      <c r="AM34" s="69">
        <v>0.19370000000000001</v>
      </c>
      <c r="AN34" s="69">
        <v>8.2777777777777786</v>
      </c>
      <c r="AO34" s="69"/>
      <c r="AP34" s="74"/>
      <c r="AQ34" s="68">
        <v>0.45454545454545453</v>
      </c>
      <c r="AR34" s="67">
        <v>0.15</v>
      </c>
      <c r="AS34" s="66">
        <f>(AK34+AK34*AQ34)/(1+AQ34*AR34)</f>
        <v>0.85787234042553195</v>
      </c>
      <c r="AT34" s="46">
        <f>AS34-AK34+J34</f>
        <v>0.787872340425532</v>
      </c>
      <c r="AV34" s="46">
        <f>($AT34-$J34)/($J34-($AT34)*$N34)</f>
        <v>0.51575931232091698</v>
      </c>
      <c r="AW34" s="66">
        <v>60</v>
      </c>
      <c r="AX34" s="66">
        <v>6</v>
      </c>
      <c r="AY34" s="66">
        <v>1</v>
      </c>
    </row>
    <row r="35" spans="1:52" ht="30.6" customHeight="1">
      <c r="A35" s="75" t="str">
        <f>"ECCCS"&amp;RIGHT(C35,3)&amp;"OXCN1"</f>
        <v>ECCCSNGAOXCN1</v>
      </c>
      <c r="B35" s="75" t="s">
        <v>196</v>
      </c>
      <c r="C35" s="75" t="s">
        <v>597</v>
      </c>
      <c r="D35" s="75"/>
      <c r="E35" s="76" t="s">
        <v>17</v>
      </c>
      <c r="F35" s="76"/>
      <c r="G35" s="75">
        <v>2013</v>
      </c>
      <c r="H35" s="74">
        <v>2025</v>
      </c>
      <c r="I35" s="75"/>
      <c r="J35" s="67">
        <f>AK35-CCS!$L$111/100</f>
        <v>0.49</v>
      </c>
      <c r="K35" s="75"/>
      <c r="M35" s="68">
        <f>(AT35-J35)/J35</f>
        <v>0.55493564332207723</v>
      </c>
      <c r="N35" s="67">
        <v>0.15</v>
      </c>
      <c r="O35" s="69">
        <f>AL35+CCS!L$114/1000*7.45</f>
        <v>17.134999999999998</v>
      </c>
      <c r="P35" s="69">
        <f>O35*CCS!C$119/100</f>
        <v>0.42837499999999989</v>
      </c>
      <c r="Q35" s="69">
        <f>MAX(AN35, AN35+CCS!$L$120/3.6*7.45)</f>
        <v>9.3125</v>
      </c>
      <c r="R35" s="68">
        <v>3.1536000000000002E-2</v>
      </c>
      <c r="S35" s="68">
        <v>0.9</v>
      </c>
      <c r="T35" s="68">
        <v>1</v>
      </c>
      <c r="U35" s="68">
        <v>25</v>
      </c>
      <c r="V35" s="68">
        <v>2.5</v>
      </c>
      <c r="W35" s="68"/>
      <c r="X35" s="69">
        <f t="shared" si="5"/>
        <v>60</v>
      </c>
      <c r="Y35" s="69">
        <f t="shared" si="5"/>
        <v>6</v>
      </c>
      <c r="Z35" s="69">
        <f t="shared" si="5"/>
        <v>1</v>
      </c>
      <c r="AA35" s="69">
        <f t="shared" si="5"/>
        <v>0</v>
      </c>
      <c r="AB35" s="75"/>
      <c r="AC35" s="82">
        <f>-1*PMT($AC$1,U35,O35*1000000)/R35*S35/1000000</f>
        <v>31.302653605761964</v>
      </c>
      <c r="AD35" s="82">
        <f>P35*1000000/R35*S35/1000000</f>
        <v>12.225313926940636</v>
      </c>
      <c r="AE35" s="91">
        <f>SUMIFS('DMS marginal prices'!$G$8:$G$70,'DMS marginal prices'!$F$8:$F$70,G35,'DMS marginal prices'!$D$8:$D$70,C35)/J35</f>
        <v>0</v>
      </c>
      <c r="AF35" s="91">
        <f>SUMIFS('DMS marginal prices'!$G$8:$G$70,'DMS marginal prices'!$F$8:$F$70,G35,'DMS marginal prices'!$D$8:$D$70,"SUPELC")*0.7+SUMIFS('DMS marginal prices'!$G$8:$G$70,'DMS marginal prices'!$F$8:$F$70,G36,'DMS marginal prices'!$D$8:$D$70,E36)*M35</f>
        <v>0</v>
      </c>
      <c r="AG35" s="82">
        <f>SUM(AC35:AF37)*1000/K37</f>
        <v>849.24334275100193</v>
      </c>
      <c r="AH35" s="75"/>
      <c r="AI35" s="75"/>
      <c r="AJ35" s="75"/>
      <c r="AK35" s="67">
        <v>0.57999999999999996</v>
      </c>
      <c r="AL35" s="69">
        <v>6.7050000000000001</v>
      </c>
      <c r="AM35" s="69">
        <v>0.2235</v>
      </c>
      <c r="AN35" s="69">
        <v>9.3125</v>
      </c>
      <c r="AO35" s="69"/>
      <c r="AP35" s="74"/>
      <c r="AQ35" s="68">
        <v>0.60130718954248363</v>
      </c>
      <c r="AR35" s="67">
        <v>0.15</v>
      </c>
      <c r="AS35" s="66">
        <f>(AK35+AK35*AQ35)/(1+AQ35*AR35)</f>
        <v>0.85191846522781778</v>
      </c>
      <c r="AT35" s="46">
        <f>AS35-AK35+J35</f>
        <v>0.76191846522781781</v>
      </c>
      <c r="AV35" s="46">
        <f>($AT35-$J35)/($J35-($AT35)*$N35)</f>
        <v>0.72374131944444464</v>
      </c>
      <c r="AW35" s="66">
        <v>60</v>
      </c>
      <c r="AX35" s="66">
        <v>6</v>
      </c>
      <c r="AY35" s="66">
        <v>1</v>
      </c>
    </row>
    <row r="36" spans="1:52" ht="30.6" customHeight="1">
      <c r="C36" s="75"/>
      <c r="D36" s="75"/>
      <c r="E36" s="195" t="s">
        <v>601</v>
      </c>
      <c r="F36" s="76"/>
      <c r="G36" s="74">
        <v>2013</v>
      </c>
      <c r="H36" s="75"/>
      <c r="I36" s="75"/>
      <c r="K36" s="75"/>
      <c r="X36" s="69"/>
      <c r="Y36" s="69"/>
      <c r="Z36" s="69"/>
      <c r="AA36" s="69"/>
      <c r="AB36" s="75"/>
      <c r="AC36" s="91"/>
      <c r="AD36" s="91"/>
      <c r="AF36" s="91"/>
      <c r="AG36" s="91"/>
      <c r="AH36" s="75"/>
      <c r="AI36" s="75"/>
      <c r="AJ36" s="75"/>
      <c r="AK36" s="46"/>
      <c r="AL36" s="74"/>
      <c r="AM36" s="74"/>
      <c r="AN36" s="74"/>
      <c r="AO36" s="74"/>
      <c r="AP36" s="74"/>
      <c r="AQ36" s="74"/>
      <c r="AR36" s="67"/>
    </row>
    <row r="37" spans="1:52" ht="30.6" customHeight="1">
      <c r="A37" s="75"/>
      <c r="B37" s="75"/>
      <c r="C37" s="75"/>
      <c r="D37" s="75"/>
      <c r="E37" s="76"/>
      <c r="F37" s="74" t="str">
        <f>ELC_CCS_Comm!$C$15</f>
        <v>CO2FOSE</v>
      </c>
      <c r="G37" s="74">
        <v>2013</v>
      </c>
      <c r="H37" s="75"/>
      <c r="I37" s="75"/>
      <c r="K37" s="74">
        <f>Emissions!F11*CCS!$C$112/100</f>
        <v>51.255000000000003</v>
      </c>
      <c r="R37" s="75"/>
      <c r="S37" s="75"/>
      <c r="T37" s="75"/>
      <c r="U37" s="75"/>
      <c r="V37" s="75"/>
      <c r="W37" s="75"/>
      <c r="X37" s="69"/>
      <c r="Y37" s="69"/>
      <c r="Z37" s="69"/>
      <c r="AA37" s="69"/>
      <c r="AB37" s="75"/>
      <c r="AC37" s="82"/>
      <c r="AD37" s="82"/>
      <c r="AE37" s="91"/>
      <c r="AF37" s="91"/>
      <c r="AG37" s="82"/>
      <c r="AH37" s="75"/>
      <c r="AI37" s="75"/>
      <c r="AJ37" s="75"/>
      <c r="AK37" s="46"/>
      <c r="AL37" s="74"/>
      <c r="AM37" s="74"/>
      <c r="AN37" s="74"/>
      <c r="AO37" s="74"/>
      <c r="AP37" s="74"/>
      <c r="AQ37" s="74"/>
      <c r="AR37" s="67"/>
    </row>
    <row r="38" spans="1:52" ht="30.6" customHeight="1">
      <c r="A38" s="75"/>
      <c r="B38" s="75"/>
      <c r="C38" s="75"/>
      <c r="D38" s="75"/>
      <c r="E38" s="76"/>
      <c r="F38" s="76"/>
      <c r="G38" s="75">
        <v>2020</v>
      </c>
      <c r="H38" s="75"/>
      <c r="I38" s="75"/>
      <c r="J38" s="67">
        <f>AK38-CCS!$M$111/100</f>
        <v>0.5</v>
      </c>
      <c r="M38" s="68">
        <f>(AT38-J38)/J38</f>
        <v>0.51435897435897449</v>
      </c>
      <c r="N38" s="67">
        <v>0.15</v>
      </c>
      <c r="O38" s="69">
        <f>AL38+CCS!M$114/1000*7.45</f>
        <v>14.751000000000001</v>
      </c>
      <c r="P38" s="69">
        <f>O38*CCS!D$119/100</f>
        <v>0.36877500000000007</v>
      </c>
      <c r="Q38" s="69">
        <f>MAX(AN38, AN38+CCS!$L$120/3.6*7.45)</f>
        <v>9.1055555555555561</v>
      </c>
      <c r="R38" s="75"/>
      <c r="S38" s="75"/>
      <c r="T38" s="75"/>
      <c r="U38" s="75"/>
      <c r="V38" s="75"/>
      <c r="W38" s="75"/>
      <c r="X38" s="69">
        <f t="shared" ref="X38:AA41" si="6">AW38</f>
        <v>60</v>
      </c>
      <c r="Y38" s="69">
        <f t="shared" si="6"/>
        <v>6</v>
      </c>
      <c r="Z38" s="69">
        <f t="shared" si="6"/>
        <v>1</v>
      </c>
      <c r="AA38" s="69">
        <f t="shared" si="6"/>
        <v>0</v>
      </c>
      <c r="AB38" s="75"/>
      <c r="AC38" s="82">
        <f>-1*PMT($AC$1,U35,O38*1000000)/R35*S35/1000000</f>
        <v>26.947501799742923</v>
      </c>
      <c r="AD38" s="82">
        <f>P38*1000000/R35*S35/1000000</f>
        <v>10.524400684931507</v>
      </c>
      <c r="AE38" s="91">
        <f>SUMIFS('DMS marginal prices'!$G$8:$G$70,'DMS marginal prices'!$F$8:$F$70,G38,'DMS marginal prices'!$D$8:$D$70,C35)/J38</f>
        <v>0</v>
      </c>
      <c r="AF38" s="91">
        <f>-1*(SUMIFS('DMS marginal prices'!$G$8:$G$70,'DMS marginal prices'!$F$8:$F$70,G38,'DMS marginal prices'!$D$8:$D$70,"SUPELC")*0.7+SUMIFS('DMS marginal prices'!$G$8:$G$70,'DMS marginal prices'!$F$8:$F$70,G38,'DMS marginal prices'!$D$8:$D$70,E36)*M38)</f>
        <v>-79.842799972479099</v>
      </c>
      <c r="AG38" s="82">
        <f>SUM(AC38:AF38)*1000/K37</f>
        <v>-826.66856868217087</v>
      </c>
      <c r="AH38" s="75"/>
      <c r="AI38" s="75"/>
      <c r="AJ38" s="75"/>
      <c r="AK38" s="67">
        <v>0.59</v>
      </c>
      <c r="AL38" s="69">
        <v>6.556</v>
      </c>
      <c r="AM38" s="69">
        <v>0.21828500000000001</v>
      </c>
      <c r="AN38" s="69">
        <v>9.1055555555555561</v>
      </c>
      <c r="AO38" s="69"/>
      <c r="AP38" s="74"/>
      <c r="AQ38" s="68">
        <v>0.55555555555555558</v>
      </c>
      <c r="AR38" s="67">
        <v>0.15</v>
      </c>
      <c r="AS38" s="66">
        <f>(AK38+AK38*AQ38)/(1+AQ38*AR38)</f>
        <v>0.84717948717948721</v>
      </c>
      <c r="AT38" s="46">
        <f>AS38-AK38+J38</f>
        <v>0.75717948717948724</v>
      </c>
      <c r="AV38" s="46">
        <f>($AT38-$J38)/($J38-($AT38)*$N38)</f>
        <v>0.66553863508178246</v>
      </c>
      <c r="AW38" s="66">
        <v>60</v>
      </c>
      <c r="AX38" s="66">
        <v>6</v>
      </c>
      <c r="AY38" s="66">
        <v>1</v>
      </c>
    </row>
    <row r="39" spans="1:52" ht="30.6" customHeight="1">
      <c r="A39" s="75"/>
      <c r="B39" s="75"/>
      <c r="C39" s="75"/>
      <c r="D39" s="75"/>
      <c r="E39" s="75"/>
      <c r="F39" s="75"/>
      <c r="G39" s="75">
        <v>2030</v>
      </c>
      <c r="H39" s="75"/>
      <c r="I39" s="75"/>
      <c r="J39" s="67">
        <f>AK39-CCS!$N$111/100</f>
        <v>0.52</v>
      </c>
      <c r="M39" s="68">
        <f>(AT39-J39)/J39</f>
        <v>0.46377459749552796</v>
      </c>
      <c r="N39" s="67">
        <v>0.15</v>
      </c>
      <c r="O39" s="69">
        <f>AL39+CCS!N$114/1000*7.45</f>
        <v>13.260999999999999</v>
      </c>
      <c r="P39" s="69">
        <f>O39*CCS!E$119/100</f>
        <v>0.33152499999999996</v>
      </c>
      <c r="Q39" s="69">
        <f>MAX(AN39, AN39+CCS!$L$120/3.6*7.45)</f>
        <v>8.6916666666666664</v>
      </c>
      <c r="R39" s="75"/>
      <c r="S39" s="75"/>
      <c r="T39" s="75"/>
      <c r="U39" s="75"/>
      <c r="V39" s="75"/>
      <c r="W39" s="75"/>
      <c r="X39" s="69">
        <f t="shared" si="6"/>
        <v>60</v>
      </c>
      <c r="Y39" s="69">
        <f t="shared" si="6"/>
        <v>6</v>
      </c>
      <c r="Z39" s="69">
        <f t="shared" si="6"/>
        <v>1</v>
      </c>
      <c r="AA39" s="69">
        <f t="shared" si="6"/>
        <v>0</v>
      </c>
      <c r="AB39" s="75"/>
      <c r="AC39" s="82">
        <f>-1*PMT($AC$1,U35,O39*1000000)/R35*S35/1000000</f>
        <v>24.225531920981005</v>
      </c>
      <c r="AD39" s="82">
        <f>P39*1000000/R35*S35/1000000</f>
        <v>9.4613299086757969</v>
      </c>
      <c r="AE39" s="91">
        <f>SUMIFS('DMS marginal prices'!$G$8:$G$70,'DMS marginal prices'!$F$8:$F$70,G39,'DMS marginal prices'!$D$8:$D$70,C35)/J39</f>
        <v>0</v>
      </c>
      <c r="AF39" s="91">
        <f>-1*(SUMIFS('DMS marginal prices'!$G$8:$G$70,'DMS marginal prices'!$F$8:$F$70,G39,'DMS marginal prices'!$D$8:$D$70,"SUPELC")*0.7+SUMIFS('DMS marginal prices'!$G$8:$G$70,'DMS marginal prices'!$F$8:$F$70,G39,'DMS marginal prices'!$D$8:$D$70,E36)*M39)</f>
        <v>-116.61388954901565</v>
      </c>
      <c r="AG39" s="82">
        <f>SUM(AC39:AF39)*1000/K37</f>
        <v>-1617.930498865649</v>
      </c>
      <c r="AH39" s="75"/>
      <c r="AI39" s="75"/>
      <c r="AJ39" s="75"/>
      <c r="AK39" s="67">
        <v>0.61</v>
      </c>
      <c r="AL39" s="69">
        <v>6.1834999999999996</v>
      </c>
      <c r="AM39" s="69">
        <v>0.20710999999999999</v>
      </c>
      <c r="AN39" s="69">
        <v>8.6916666666666664</v>
      </c>
      <c r="AO39" s="69"/>
      <c r="AP39" s="74"/>
      <c r="AQ39" s="68">
        <v>0.5</v>
      </c>
      <c r="AR39" s="67">
        <v>0.15</v>
      </c>
      <c r="AS39" s="66">
        <f>(AK39+AK39*AQ39)/(1+AQ39*AR39)</f>
        <v>0.85116279069767453</v>
      </c>
      <c r="AT39" s="46">
        <f>AS39-AK39+J39</f>
        <v>0.76116279069767456</v>
      </c>
      <c r="AV39" s="46">
        <f>($AT39-$J39)/($J39-($AT39)*$N39)</f>
        <v>0.59425231368728715</v>
      </c>
      <c r="AW39" s="66">
        <v>60</v>
      </c>
      <c r="AX39" s="66">
        <v>6</v>
      </c>
      <c r="AY39" s="66">
        <v>1</v>
      </c>
    </row>
    <row r="40" spans="1:52" ht="30.6" customHeight="1">
      <c r="A40" s="75"/>
      <c r="B40" s="75"/>
      <c r="C40" s="75"/>
      <c r="D40" s="75"/>
      <c r="E40" s="75"/>
      <c r="F40" s="75"/>
      <c r="G40" s="75">
        <v>2050</v>
      </c>
      <c r="H40" s="75"/>
      <c r="I40" s="75"/>
      <c r="J40" s="67">
        <f>AK40-CCS!$P$111/100</f>
        <v>0.54</v>
      </c>
      <c r="M40" s="68">
        <f>(AT40-J40)/J40</f>
        <v>0.42198581560283693</v>
      </c>
      <c r="N40" s="67">
        <v>0.15</v>
      </c>
      <c r="O40" s="69">
        <f>AL40+CCS!P$114/1000*7.45</f>
        <v>13.037500000000001</v>
      </c>
      <c r="P40" s="69">
        <f>O40*CCS!G$119/100</f>
        <v>0.32593749999999999</v>
      </c>
      <c r="Q40" s="69">
        <f>MAX(AN40, AN40+CCS!$L$120/3.6*7.45)</f>
        <v>8.2777777777777786</v>
      </c>
      <c r="R40" s="75"/>
      <c r="S40" s="75"/>
      <c r="T40" s="75"/>
      <c r="U40" s="75"/>
      <c r="V40" s="75"/>
      <c r="W40" s="75"/>
      <c r="X40" s="69">
        <f t="shared" si="6"/>
        <v>60</v>
      </c>
      <c r="Y40" s="69">
        <f t="shared" si="6"/>
        <v>6</v>
      </c>
      <c r="Z40" s="69">
        <f t="shared" si="6"/>
        <v>1</v>
      </c>
      <c r="AA40" s="69">
        <f t="shared" si="6"/>
        <v>0</v>
      </c>
      <c r="AB40" s="75"/>
      <c r="AC40" s="82">
        <f>-1*PMT($AC$1,U35,O40*1000000)/R35*S35/1000000</f>
        <v>23.81723643916672</v>
      </c>
      <c r="AD40" s="82">
        <f>P40*1000000/R35*S35/1000000</f>
        <v>9.3018692922374431</v>
      </c>
      <c r="AE40" s="91">
        <f>SUMIFS('DMS marginal prices'!$G$8:$G$70,'DMS marginal prices'!$F$8:$F$70,G40,'DMS marginal prices'!$D$8:$D$70,C35)/J40</f>
        <v>0</v>
      </c>
      <c r="AF40" s="91">
        <f>-1*(SUMIFS('DMS marginal prices'!$G$8:$G$70,'DMS marginal prices'!$F$8:$F$70,G40,'DMS marginal prices'!$D$8:$D$70,"SUPELC")*0.7+SUMIFS('DMS marginal prices'!$G$8:$G$70,'DMS marginal prices'!$F$8:$F$70,G40,'DMS marginal prices'!$D$8:$D$70,E36)*M40)</f>
        <v>-86.784245759124616</v>
      </c>
      <c r="AG40" s="82">
        <f>SUM(AC40:AF40)*1000/K37</f>
        <v>-1047.0225349277232</v>
      </c>
      <c r="AH40" s="75"/>
      <c r="AI40" s="75"/>
      <c r="AJ40" s="75"/>
      <c r="AK40" s="67">
        <v>0.63</v>
      </c>
      <c r="AL40" s="69">
        <v>5.9600000000000009</v>
      </c>
      <c r="AM40" s="69">
        <v>0.19370000000000001</v>
      </c>
      <c r="AN40" s="69">
        <v>8.2777777777777786</v>
      </c>
      <c r="AO40" s="69"/>
      <c r="AP40" s="74"/>
      <c r="AQ40" s="68">
        <v>0.45454545454545453</v>
      </c>
      <c r="AR40" s="67">
        <v>0.15</v>
      </c>
      <c r="AS40" s="66">
        <f>(AK40+AK40*AQ40)/(1+AQ40*AR40)</f>
        <v>0.85787234042553195</v>
      </c>
      <c r="AT40" s="46">
        <f>AS40-AK40+J40</f>
        <v>0.76787234042553199</v>
      </c>
      <c r="AV40" s="46">
        <f>($AT40-$J40)/($J40-($AT40)*$N40)</f>
        <v>0.53639846743295028</v>
      </c>
      <c r="AW40" s="66">
        <v>60</v>
      </c>
      <c r="AX40" s="66">
        <v>6</v>
      </c>
      <c r="AY40" s="66">
        <v>1</v>
      </c>
    </row>
    <row r="41" spans="1:52" ht="30.6" customHeight="1">
      <c r="A41" s="75" t="str">
        <f>"ECCCS"&amp;RIGHT(C41,3)&amp;"POCN1"</f>
        <v>ECCCSWCHPOCN1</v>
      </c>
      <c r="B41" s="75" t="s">
        <v>197</v>
      </c>
      <c r="C41" s="75" t="s">
        <v>183</v>
      </c>
      <c r="D41" s="75"/>
      <c r="E41" s="76" t="s">
        <v>17</v>
      </c>
      <c r="F41" s="76"/>
      <c r="G41" s="75">
        <v>2013</v>
      </c>
      <c r="H41" s="74">
        <v>2025</v>
      </c>
      <c r="I41" s="75"/>
      <c r="J41" s="67">
        <f>AK41-CCS!$L$51/100</f>
        <v>0.17899999999999999</v>
      </c>
      <c r="K41" s="75"/>
      <c r="L41" s="68">
        <f>AV41</f>
        <v>4.7486033519553068</v>
      </c>
      <c r="M41" s="75"/>
      <c r="N41" s="75"/>
      <c r="O41" s="69">
        <f>AL41+CCS!L$54/1000*7.45</f>
        <v>35.76</v>
      </c>
      <c r="P41" s="69">
        <f>O41*CCS!C$59/100</f>
        <v>0.89399999999999991</v>
      </c>
      <c r="Q41" s="69">
        <f>AN41+CCS!$L$60/3.6*7.45</f>
        <v>11.795833333333333</v>
      </c>
      <c r="R41" s="68">
        <v>3.1536000000000002E-2</v>
      </c>
      <c r="S41" s="68">
        <v>0.9</v>
      </c>
      <c r="T41" s="68">
        <v>1</v>
      </c>
      <c r="U41" s="68">
        <v>25</v>
      </c>
      <c r="V41" s="68">
        <v>1</v>
      </c>
      <c r="W41" s="68"/>
      <c r="X41" s="69">
        <f t="shared" si="6"/>
        <v>30</v>
      </c>
      <c r="Y41" s="69">
        <f t="shared" si="6"/>
        <v>3</v>
      </c>
      <c r="Z41" s="69">
        <f t="shared" si="6"/>
        <v>1</v>
      </c>
      <c r="AA41" s="69">
        <f t="shared" si="6"/>
        <v>1.9</v>
      </c>
      <c r="AB41" s="75"/>
      <c r="AC41" s="82">
        <f>-1*PMT($AC$1,U41,O41*1000000)/R41*S41/1000000</f>
        <v>65.327277090285861</v>
      </c>
      <c r="AD41" s="82">
        <f>P41*1000000/R41*S41/1000000</f>
        <v>25.513698630136982</v>
      </c>
      <c r="AE41" s="91">
        <f>SUMIFS('DMS marginal prices'!$G$8:$G$70,'DMS marginal prices'!$F$8:$F$70,G41,'DMS marginal prices'!$D$8:$D$70,C41)/J41</f>
        <v>0</v>
      </c>
      <c r="AF41" s="91">
        <f>SUMIFS('DMS marginal prices'!$G$8:$G$70,'DMS marginal prices'!$F$8:$F$70,G41,'DMS marginal prices'!$D$8:$D$70,"SUPELC")*0.7+SUMIFS('DMS marginal prices'!$G$8:$G$70,'DMS marginal prices'!$F$8:$F$70,G42,'DMS marginal prices'!$D$8:$D$70,E42)*M41</f>
        <v>0</v>
      </c>
      <c r="AG41" s="82">
        <f>SUM(AC41:AF43)*1000/K43</f>
        <v>1103.7517401815612</v>
      </c>
      <c r="AH41" s="75"/>
      <c r="AI41" s="75"/>
      <c r="AJ41" s="75"/>
      <c r="AK41" s="67">
        <v>0.28899999999999998</v>
      </c>
      <c r="AL41" s="75">
        <v>25.33</v>
      </c>
      <c r="AM41" s="75">
        <v>0.44700000000000001</v>
      </c>
      <c r="AN41" s="75">
        <v>7.863888888888888</v>
      </c>
      <c r="AO41" s="75"/>
      <c r="AP41" s="75">
        <v>2.9411764705882351</v>
      </c>
      <c r="AQ41" s="75"/>
      <c r="AS41" s="66">
        <f>(AK41+AK41*AP41)/(1+AP41*AR41)</f>
        <v>1.1389999999999998</v>
      </c>
      <c r="AT41" s="46">
        <f>AS41-AK41+J41</f>
        <v>1.0289999999999999</v>
      </c>
      <c r="AV41" s="46">
        <f>($AT41-$J41)/($J41-($AT41)*$N41)</f>
        <v>4.7486033519553068</v>
      </c>
      <c r="AW41" s="66">
        <v>30</v>
      </c>
      <c r="AX41" s="66">
        <v>3</v>
      </c>
      <c r="AY41" s="66">
        <v>1</v>
      </c>
      <c r="AZ41" s="66">
        <v>1.9</v>
      </c>
    </row>
    <row r="42" spans="1:52" ht="30.6" customHeight="1">
      <c r="B42" s="66"/>
      <c r="C42" s="75"/>
      <c r="D42" s="75"/>
      <c r="E42" s="195" t="s">
        <v>601</v>
      </c>
      <c r="F42" s="76"/>
      <c r="G42" s="74">
        <v>2013</v>
      </c>
      <c r="H42" s="75"/>
      <c r="I42" s="75"/>
      <c r="K42" s="75"/>
      <c r="L42" s="75"/>
      <c r="M42" s="75"/>
      <c r="N42" s="75"/>
      <c r="R42" s="75"/>
      <c r="S42" s="75"/>
      <c r="T42" s="75"/>
      <c r="U42" s="75"/>
      <c r="V42" s="75"/>
      <c r="W42" s="75"/>
      <c r="X42" s="69"/>
      <c r="Y42" s="69"/>
      <c r="Z42" s="69"/>
      <c r="AA42" s="69"/>
      <c r="AB42" s="75"/>
      <c r="AC42" s="91"/>
      <c r="AD42" s="91"/>
      <c r="AF42" s="91"/>
      <c r="AG42" s="91"/>
      <c r="AH42" s="75"/>
      <c r="AI42" s="75"/>
      <c r="AJ42" s="75"/>
      <c r="AK42" s="67"/>
      <c r="AL42" s="75"/>
      <c r="AM42" s="75"/>
      <c r="AN42" s="75"/>
      <c r="AO42" s="75"/>
      <c r="AP42" s="75"/>
      <c r="AQ42" s="75"/>
    </row>
    <row r="43" spans="1:52" ht="30.6" customHeight="1">
      <c r="A43" s="75"/>
      <c r="B43" s="75"/>
      <c r="C43" s="75"/>
      <c r="D43" s="75"/>
      <c r="E43" s="76"/>
      <c r="F43" s="74" t="str">
        <f>ELC_CCS_Comm!$C$14</f>
        <v>CO2BIOE</v>
      </c>
      <c r="G43" s="74">
        <v>2013</v>
      </c>
      <c r="H43" s="75"/>
      <c r="I43" s="75"/>
      <c r="K43" s="74">
        <f>Emissions!C11*CCS!$C$52/100</f>
        <v>82.301999999999992</v>
      </c>
      <c r="L43" s="66"/>
      <c r="M43" s="75"/>
      <c r="N43" s="75"/>
      <c r="R43" s="75"/>
      <c r="S43" s="75"/>
      <c r="T43" s="75"/>
      <c r="U43" s="75"/>
      <c r="V43" s="75"/>
      <c r="W43" s="75"/>
      <c r="X43" s="69"/>
      <c r="Y43" s="69"/>
      <c r="Z43" s="69"/>
      <c r="AA43" s="69"/>
      <c r="AB43" s="75"/>
      <c r="AC43" s="82"/>
      <c r="AD43" s="82"/>
      <c r="AE43" s="91"/>
      <c r="AF43" s="91"/>
      <c r="AG43" s="82"/>
      <c r="AH43" s="75"/>
      <c r="AI43" s="75"/>
      <c r="AJ43" s="75"/>
      <c r="AK43" s="67"/>
      <c r="AL43" s="75"/>
      <c r="AM43" s="75"/>
      <c r="AN43" s="75"/>
      <c r="AO43" s="75"/>
      <c r="AQ43" s="75"/>
    </row>
    <row r="44" spans="1:52" ht="30.6" customHeight="1">
      <c r="A44" s="75"/>
      <c r="B44" s="75"/>
      <c r="C44" s="75"/>
      <c r="D44" s="75"/>
      <c r="E44" s="76"/>
      <c r="F44" s="76"/>
      <c r="G44" s="75">
        <v>2020</v>
      </c>
      <c r="H44" s="75"/>
      <c r="I44" s="75"/>
      <c r="J44" s="67">
        <f>AK44-CCS!$M$51/100</f>
        <v>0.18</v>
      </c>
      <c r="L44" s="68">
        <f>AV44</f>
        <v>4.7385620915032671</v>
      </c>
      <c r="M44" s="75"/>
      <c r="N44" s="75"/>
      <c r="O44" s="69">
        <f>AL44+CCS!M$54/1000*7.45</f>
        <v>32.78</v>
      </c>
      <c r="P44" s="69">
        <f>O44*CCS!D$59/100</f>
        <v>0.81950000000000001</v>
      </c>
      <c r="Q44" s="69">
        <f>AN44+CCS!$M$60/3.6*7.45</f>
        <v>11.795833333333333</v>
      </c>
      <c r="R44" s="68"/>
      <c r="S44" s="68"/>
      <c r="T44" s="68"/>
      <c r="U44" s="68"/>
      <c r="V44" s="68"/>
      <c r="W44" s="68"/>
      <c r="X44" s="69">
        <f t="shared" ref="X44:AA47" si="7">AW44</f>
        <v>20</v>
      </c>
      <c r="Y44" s="69">
        <f t="shared" si="7"/>
        <v>2</v>
      </c>
      <c r="Z44" s="69">
        <f t="shared" si="7"/>
        <v>1</v>
      </c>
      <c r="AA44" s="69">
        <f t="shared" si="7"/>
        <v>1.9</v>
      </c>
      <c r="AB44" s="75"/>
      <c r="AC44" s="82">
        <f>-1*PMT($AC$1,U41,O44*1000000)/R41*S41/1000000</f>
        <v>59.883337332762032</v>
      </c>
      <c r="AD44" s="82">
        <f>P44*1000000/R41*S41/1000000</f>
        <v>23.387557077625569</v>
      </c>
      <c r="AE44" s="91">
        <f>SUMIFS('DMS marginal prices'!$G$8:$G$70,'DMS marginal prices'!$F$8:$F$70,G44,'DMS marginal prices'!$D$8:$D$70,C41)/J44</f>
        <v>356.82732939751168</v>
      </c>
      <c r="AF44" s="91">
        <f>-1*(SUMIFS('DMS marginal prices'!$G$8:$G$70,'DMS marginal prices'!$F$8:$F$70,G44,'DMS marginal prices'!$D$8:$D$70,"SUPELC")*0.7+SUMIFS('DMS marginal prices'!$G$8:$G$70,'DMS marginal prices'!$F$8:$F$70,G44,'DMS marginal prices'!$D$8:$D$70,E42)*M44)</f>
        <v>-52.97170529460589</v>
      </c>
      <c r="AG44" s="82">
        <f>SUM(AC44:AF44)*1000/K43</f>
        <v>4703.7316044967729</v>
      </c>
      <c r="AH44" s="75"/>
      <c r="AI44" s="75"/>
      <c r="AJ44" s="75"/>
      <c r="AK44" s="67">
        <v>0.28999999999999998</v>
      </c>
      <c r="AL44" s="75">
        <v>24.585000000000001</v>
      </c>
      <c r="AM44" s="75">
        <v>0.44700000000000001</v>
      </c>
      <c r="AN44" s="75">
        <v>7.863888888888888</v>
      </c>
      <c r="AO44" s="75"/>
      <c r="AP44" s="75">
        <v>2.9411764705882351</v>
      </c>
      <c r="AQ44" s="75"/>
      <c r="AS44" s="66">
        <f>(AK44+AK44*AP44)/(1+AP44*AR44)</f>
        <v>1.1429411764705881</v>
      </c>
      <c r="AT44" s="46">
        <f>AS44-AK44+J44</f>
        <v>1.032941176470588</v>
      </c>
      <c r="AV44" s="46">
        <f>($AT44-$J44)/($J44-($AT44)*$N44)</f>
        <v>4.7385620915032671</v>
      </c>
      <c r="AW44" s="66">
        <v>20</v>
      </c>
      <c r="AX44" s="66">
        <v>2</v>
      </c>
      <c r="AY44" s="66">
        <v>1</v>
      </c>
      <c r="AZ44" s="66">
        <v>1.9</v>
      </c>
    </row>
    <row r="45" spans="1:52" ht="30.6" customHeight="1">
      <c r="A45" s="75"/>
      <c r="B45" s="75"/>
      <c r="C45" s="75"/>
      <c r="D45" s="75"/>
      <c r="E45" s="75"/>
      <c r="F45" s="75"/>
      <c r="G45" s="75">
        <v>2030</v>
      </c>
      <c r="H45" s="75"/>
      <c r="I45" s="75"/>
      <c r="J45" s="67">
        <f>AK45-CCS!$N$51/100</f>
        <v>0.19099999999999998</v>
      </c>
      <c r="L45" s="68">
        <f>AV45</f>
        <v>4.4810594394825998</v>
      </c>
      <c r="M45" s="75"/>
      <c r="N45" s="75"/>
      <c r="O45" s="69">
        <f>AL45+CCS!N$54/1000*7.45</f>
        <v>30.172500000000003</v>
      </c>
      <c r="P45" s="69">
        <f>O45*CCS!E$59/100</f>
        <v>0.75431250000000005</v>
      </c>
      <c r="Q45" s="69">
        <f>AN45+CCS!$N$60/3.6*7.45</f>
        <v>11.795833333333333</v>
      </c>
      <c r="R45" s="75"/>
      <c r="S45" s="75"/>
      <c r="T45" s="75"/>
      <c r="U45" s="75"/>
      <c r="V45" s="75"/>
      <c r="W45" s="75"/>
      <c r="X45" s="69">
        <f t="shared" si="7"/>
        <v>20</v>
      </c>
      <c r="Y45" s="69">
        <f t="shared" si="7"/>
        <v>2</v>
      </c>
      <c r="Z45" s="69">
        <f t="shared" si="7"/>
        <v>1</v>
      </c>
      <c r="AA45" s="69">
        <f t="shared" si="7"/>
        <v>1.9</v>
      </c>
      <c r="AB45" s="75"/>
      <c r="AC45" s="82">
        <f>-1*PMT($AC$1,U41,O45*1000000)/R41*S41/1000000</f>
        <v>55.119890044928709</v>
      </c>
      <c r="AD45" s="82">
        <f>P45*1000000/R41*S41/1000000</f>
        <v>21.527183219178085</v>
      </c>
      <c r="AE45" s="91">
        <f>SUMIFS('DMS marginal prices'!$G$8:$G$70,'DMS marginal prices'!$F$8:$F$70,G45,'DMS marginal prices'!$D$8:$D$70,C41)/J45</f>
        <v>513.55060101400056</v>
      </c>
      <c r="AF45" s="91">
        <f>-1*(SUMIFS('DMS marginal prices'!$G$8:$G$70,'DMS marginal prices'!$F$8:$F$70,G45,'DMS marginal prices'!$D$8:$D$70,"SUPELC")*0.7+SUMIFS('DMS marginal prices'!$G$8:$G$70,'DMS marginal prices'!$F$8:$F$70,G45,'DMS marginal prices'!$D$8:$D$70,E42)*M45)</f>
        <v>-96.383017979453641</v>
      </c>
      <c r="AG45" s="82">
        <f>SUM(AC45:AF45)*1000/K43</f>
        <v>6000.0322750194864</v>
      </c>
      <c r="AH45" s="75"/>
      <c r="AI45" s="75"/>
      <c r="AJ45" s="75"/>
      <c r="AK45" s="67">
        <v>0.29099999999999998</v>
      </c>
      <c r="AL45" s="75">
        <v>23.095000000000002</v>
      </c>
      <c r="AM45" s="75">
        <v>0.3725</v>
      </c>
      <c r="AN45" s="75">
        <v>7.863888888888888</v>
      </c>
      <c r="AO45" s="75"/>
      <c r="AP45" s="75">
        <v>2.9411764705882351</v>
      </c>
      <c r="AQ45" s="75"/>
      <c r="AS45" s="66">
        <f>(AK45+AK45*AP45)/(1+AP45*AR45)</f>
        <v>1.1468823529411762</v>
      </c>
      <c r="AT45" s="46">
        <f>AS45-AK45+J45</f>
        <v>1.0468823529411764</v>
      </c>
      <c r="AV45" s="46">
        <f>($AT45-$J45)/($J45-($AT45)*$N45)</f>
        <v>4.4810594394825998</v>
      </c>
      <c r="AW45" s="66">
        <v>20</v>
      </c>
      <c r="AX45" s="66">
        <v>2</v>
      </c>
      <c r="AY45" s="66">
        <v>1</v>
      </c>
      <c r="AZ45" s="66">
        <v>1.9</v>
      </c>
    </row>
    <row r="46" spans="1:52" ht="30.6" customHeight="1">
      <c r="A46" s="75"/>
      <c r="B46" s="75"/>
      <c r="C46" s="75"/>
      <c r="D46" s="75"/>
      <c r="E46" s="75"/>
      <c r="F46" s="75"/>
      <c r="G46" s="75">
        <v>2050</v>
      </c>
      <c r="H46" s="75"/>
      <c r="I46" s="75"/>
      <c r="J46" s="67">
        <f>AK46-CCS!$P$51/100</f>
        <v>0.19099999999999998</v>
      </c>
      <c r="L46" s="68">
        <f>AV46</f>
        <v>4.4810594394825998</v>
      </c>
      <c r="M46" s="75"/>
      <c r="N46" s="75"/>
      <c r="O46" s="69">
        <f>AL46+CCS!P$54/1000*7.45</f>
        <v>27.9375</v>
      </c>
      <c r="P46" s="69">
        <f>O46*CCS!G$59/100</f>
        <v>0.69843750000000004</v>
      </c>
      <c r="Q46" s="69">
        <f>AN46+CCS!$P$60/3.6*7.45</f>
        <v>11.795833333333333</v>
      </c>
      <c r="R46" s="75"/>
      <c r="S46" s="75"/>
      <c r="T46" s="75"/>
      <c r="U46" s="75"/>
      <c r="V46" s="75"/>
      <c r="W46" s="75"/>
      <c r="X46" s="69">
        <f t="shared" si="7"/>
        <v>10</v>
      </c>
      <c r="Y46" s="69">
        <f t="shared" si="7"/>
        <v>1</v>
      </c>
      <c r="Z46" s="69">
        <f t="shared" si="7"/>
        <v>0</v>
      </c>
      <c r="AA46" s="69">
        <f t="shared" si="7"/>
        <v>1.9</v>
      </c>
      <c r="AB46" s="75"/>
      <c r="AC46" s="82">
        <f>-1*PMT($AC$1,U41,O46*1000000)/R41*S41/1000000</f>
        <v>51.036935226785822</v>
      </c>
      <c r="AD46" s="82">
        <f>P46*1000000/R41*S41/1000000</f>
        <v>19.932577054794521</v>
      </c>
      <c r="AE46" s="91">
        <f>SUMIFS('DMS marginal prices'!$G$8:$G$70,'DMS marginal prices'!$F$8:$F$70,G46,'DMS marginal prices'!$D$8:$D$70,C41)/J46</f>
        <v>525.50196781015404</v>
      </c>
      <c r="AF46" s="91">
        <f>-1*(SUMIFS('DMS marginal prices'!$G$8:$G$70,'DMS marginal prices'!$F$8:$F$70,G46,'DMS marginal prices'!$D$8:$D$70,"SUPELC")*0.7+SUMIFS('DMS marginal prices'!$G$8:$G$70,'DMS marginal prices'!$F$8:$F$70,G46,'DMS marginal prices'!$D$8:$D$70,E42)*M46)</f>
        <v>-73.422312303156488</v>
      </c>
      <c r="AG46" s="82">
        <f>SUM(AC46:AF46)*1000/K43</f>
        <v>6355.2424945758066</v>
      </c>
      <c r="AH46" s="75"/>
      <c r="AI46" s="75"/>
      <c r="AJ46" s="75"/>
      <c r="AK46" s="67">
        <v>0.29099999999999998</v>
      </c>
      <c r="AL46" s="75">
        <v>20.86</v>
      </c>
      <c r="AM46" s="75">
        <v>0.3725</v>
      </c>
      <c r="AN46" s="75">
        <v>7.863888888888888</v>
      </c>
      <c r="AO46" s="75"/>
      <c r="AP46" s="75">
        <v>2.9411764705882351</v>
      </c>
      <c r="AQ46" s="75"/>
      <c r="AS46" s="66">
        <f>(AK46+AK46*AP46)/(1+AP46*AR46)</f>
        <v>1.1468823529411762</v>
      </c>
      <c r="AT46" s="46">
        <f>AS46-AK46+J46</f>
        <v>1.0468823529411764</v>
      </c>
      <c r="AV46" s="46">
        <f>($AT46-$J46)/($J46-($AT46)*$N46)</f>
        <v>4.4810594394825998</v>
      </c>
      <c r="AW46" s="66">
        <v>10</v>
      </c>
      <c r="AX46" s="66">
        <v>1</v>
      </c>
      <c r="AY46" s="66">
        <v>0</v>
      </c>
      <c r="AZ46" s="66">
        <v>1.9</v>
      </c>
    </row>
    <row r="47" spans="1:52" ht="30.6" customHeight="1">
      <c r="A47" s="75" t="str">
        <f>"ECCCS"&amp;RIGHT(C47,3)&amp;"OXCN1"</f>
        <v>ECCCSSTROXCN1</v>
      </c>
      <c r="B47" s="75" t="s">
        <v>198</v>
      </c>
      <c r="C47" s="75" t="s">
        <v>23</v>
      </c>
      <c r="D47" s="75"/>
      <c r="E47" s="76" t="s">
        <v>17</v>
      </c>
      <c r="F47" s="76"/>
      <c r="G47" s="75">
        <v>2013</v>
      </c>
      <c r="H47" s="74">
        <v>2025</v>
      </c>
      <c r="I47" s="75"/>
      <c r="J47" s="67">
        <f>AK47-CCS!$L$51/100</f>
        <v>0.2</v>
      </c>
      <c r="K47" s="75"/>
      <c r="L47" s="68">
        <f>AV47</f>
        <v>3.5227272727272672</v>
      </c>
      <c r="M47" s="75"/>
      <c r="N47" s="75"/>
      <c r="O47" s="69">
        <f>AL47+CCS!L$54/1000*7.45</f>
        <v>30.545000000000002</v>
      </c>
      <c r="P47" s="69">
        <f>O47*CCS!C$59/100</f>
        <v>0.76362500000000011</v>
      </c>
      <c r="Q47" s="69">
        <f>AN47+CCS!$L$60/3.6*7.45</f>
        <v>7.8638888888888889</v>
      </c>
      <c r="R47" s="68">
        <v>3.1536000000000002E-2</v>
      </c>
      <c r="S47" s="68">
        <v>0.9</v>
      </c>
      <c r="T47" s="68">
        <v>1</v>
      </c>
      <c r="U47" s="68">
        <v>25</v>
      </c>
      <c r="V47" s="68">
        <v>1</v>
      </c>
      <c r="W47" s="68"/>
      <c r="X47" s="69">
        <f t="shared" si="7"/>
        <v>80</v>
      </c>
      <c r="Y47" s="69">
        <f t="shared" si="7"/>
        <v>0</v>
      </c>
      <c r="Z47" s="69">
        <f t="shared" si="7"/>
        <v>1</v>
      </c>
      <c r="AA47" s="69">
        <f t="shared" si="7"/>
        <v>49</v>
      </c>
      <c r="AB47" s="75"/>
      <c r="AC47" s="82">
        <f>-1*PMT($AC$1,U47,O47*1000000)/R47*S47/1000000</f>
        <v>55.800382514619173</v>
      </c>
      <c r="AD47" s="82">
        <f>P47*1000000/R47*S47/1000000</f>
        <v>21.792950913242013</v>
      </c>
      <c r="AE47" s="91">
        <f>SUMIFS('DMS marginal prices'!$G$8:$G$70,'DMS marginal prices'!$F$8:$F$70,G47,'DMS marginal prices'!$D$8:$D$70,C47)/J47</f>
        <v>0</v>
      </c>
      <c r="AF47" s="91">
        <f>SUMIFS('DMS marginal prices'!$G$8:$G$70,'DMS marginal prices'!$F$8:$F$70,G47,'DMS marginal prices'!$D$8:$D$70,"SUPELC")*0.7+SUMIFS('DMS marginal prices'!$G$8:$G$70,'DMS marginal prices'!$F$8:$F$70,G48,'DMS marginal prices'!$D$8:$D$70,E48)*M47</f>
        <v>0</v>
      </c>
      <c r="AG47" s="82">
        <f>SUM(AC47:AF49)*1000/K49</f>
        <v>942.78794473841697</v>
      </c>
      <c r="AH47" s="75"/>
      <c r="AI47" s="75"/>
      <c r="AJ47" s="75"/>
      <c r="AK47" s="46">
        <v>0.31</v>
      </c>
      <c r="AL47" s="75">
        <v>20.115000000000002</v>
      </c>
      <c r="AM47" s="75">
        <v>0.89400000000000002</v>
      </c>
      <c r="AN47" s="75">
        <v>3.931944444444444</v>
      </c>
      <c r="AO47" s="75"/>
      <c r="AP47" s="75">
        <v>2.2727272727272698</v>
      </c>
      <c r="AQ47" s="75"/>
      <c r="AS47" s="66">
        <f>(AK47+AK47*AP47)/(1+AP47*AR47)</f>
        <v>1.0145454545454535</v>
      </c>
      <c r="AT47" s="46">
        <f>AS47-AK47+J47</f>
        <v>0.90454545454545343</v>
      </c>
      <c r="AV47" s="46">
        <f>($AT47-$J47)/($J47-($AT47)*$N47)</f>
        <v>3.5227272727272672</v>
      </c>
      <c r="AW47" s="66">
        <v>80</v>
      </c>
      <c r="AY47" s="66">
        <v>1</v>
      </c>
      <c r="AZ47" s="66">
        <v>49</v>
      </c>
    </row>
    <row r="48" spans="1:52" ht="30.6" customHeight="1">
      <c r="A48" s="66"/>
      <c r="B48" s="66"/>
      <c r="C48" s="75"/>
      <c r="D48" s="75"/>
      <c r="E48" s="195" t="s">
        <v>601</v>
      </c>
      <c r="F48" s="76"/>
      <c r="G48" s="74">
        <v>2013</v>
      </c>
      <c r="H48" s="75"/>
      <c r="I48" s="75"/>
      <c r="K48" s="75"/>
      <c r="L48" s="75"/>
      <c r="M48" s="75"/>
      <c r="N48" s="75"/>
      <c r="R48" s="75"/>
      <c r="S48" s="75"/>
      <c r="T48" s="75"/>
      <c r="U48" s="75"/>
      <c r="V48" s="75"/>
      <c r="W48" s="75"/>
      <c r="X48" s="69"/>
      <c r="Y48" s="69"/>
      <c r="Z48" s="69"/>
      <c r="AA48" s="69"/>
      <c r="AB48" s="75"/>
      <c r="AC48" s="91"/>
      <c r="AD48" s="91"/>
      <c r="AF48" s="91"/>
      <c r="AG48" s="91"/>
      <c r="AH48" s="75"/>
      <c r="AI48" s="75"/>
      <c r="AJ48" s="75"/>
      <c r="AK48" s="46"/>
      <c r="AL48" s="75"/>
      <c r="AM48" s="75"/>
      <c r="AN48" s="75"/>
      <c r="AO48" s="75"/>
      <c r="AP48" s="75"/>
      <c r="AQ48" s="75"/>
    </row>
    <row r="49" spans="1:55" ht="30.6" customHeight="1">
      <c r="A49" s="66"/>
      <c r="B49" s="66"/>
      <c r="C49" s="75"/>
      <c r="D49" s="75"/>
      <c r="E49" s="76"/>
      <c r="F49" s="74" t="str">
        <f>ELC_CCS_Comm!$C$14</f>
        <v>CO2BIOE</v>
      </c>
      <c r="G49" s="74">
        <v>2013</v>
      </c>
      <c r="H49" s="75"/>
      <c r="I49" s="75"/>
      <c r="K49" s="74">
        <f>Emissions!C11*CCS!$C$52/100</f>
        <v>82.301999999999992</v>
      </c>
      <c r="L49" s="66"/>
      <c r="M49" s="75"/>
      <c r="N49" s="75"/>
      <c r="R49" s="75"/>
      <c r="S49" s="75"/>
      <c r="T49" s="75"/>
      <c r="U49" s="75"/>
      <c r="V49" s="75"/>
      <c r="W49" s="75"/>
      <c r="X49" s="69"/>
      <c r="Y49" s="69"/>
      <c r="Z49" s="69"/>
      <c r="AA49" s="69"/>
      <c r="AB49" s="75"/>
      <c r="AC49" s="82"/>
      <c r="AD49" s="82"/>
      <c r="AE49" s="91"/>
      <c r="AF49" s="91"/>
      <c r="AG49" s="82"/>
      <c r="AH49" s="75"/>
      <c r="AI49" s="75"/>
      <c r="AJ49" s="75"/>
      <c r="AK49" s="46"/>
      <c r="AL49" s="75"/>
      <c r="AM49" s="75"/>
      <c r="AN49" s="75"/>
      <c r="AO49" s="75"/>
      <c r="AQ49" s="75"/>
    </row>
    <row r="50" spans="1:55" ht="30.6" customHeight="1">
      <c r="C50" s="75"/>
      <c r="D50" s="75"/>
      <c r="E50" s="76"/>
      <c r="F50" s="76"/>
      <c r="G50" s="75">
        <v>2020</v>
      </c>
      <c r="H50" s="75"/>
      <c r="I50" s="75"/>
      <c r="J50" s="67">
        <f>AK50-CCS!$M$51/100</f>
        <v>0.2</v>
      </c>
      <c r="L50" s="68">
        <f>AV50</f>
        <v>3.5227272727272729</v>
      </c>
      <c r="M50" s="75"/>
      <c r="N50" s="75"/>
      <c r="O50" s="69">
        <f>AL50+CCS!M$54/1000*7.45</f>
        <v>27.565000000000001</v>
      </c>
      <c r="P50" s="69">
        <f>O50*CCS!D$59/100</f>
        <v>0.6891250000000001</v>
      </c>
      <c r="Q50" s="69">
        <f>AN50+CCS!$M$60/3.6*7.45</f>
        <v>7.8638888888888889</v>
      </c>
      <c r="R50" s="68"/>
      <c r="S50" s="68"/>
      <c r="T50" s="68"/>
      <c r="U50" s="68"/>
      <c r="V50" s="68"/>
      <c r="W50" s="68"/>
      <c r="X50" s="69">
        <f t="shared" ref="X50:AA53" si="8">AW50</f>
        <v>70</v>
      </c>
      <c r="Y50" s="69">
        <f t="shared" si="8"/>
        <v>0</v>
      </c>
      <c r="Z50" s="69">
        <f t="shared" si="8"/>
        <v>1</v>
      </c>
      <c r="AA50" s="69">
        <f t="shared" si="8"/>
        <v>49</v>
      </c>
      <c r="AB50" s="75"/>
      <c r="AC50" s="82">
        <f>-1*PMT($AC$1,U47,O50*1000000)/R47*S47/1000000</f>
        <v>50.356442757095351</v>
      </c>
      <c r="AD50" s="82">
        <f>P50*1000000/R47*S47/1000000</f>
        <v>19.666809360730596</v>
      </c>
      <c r="AE50" s="91">
        <f>SUMIFS('DMS marginal prices'!$G$8:$G$70,'DMS marginal prices'!$F$8:$F$70,G50,'DMS marginal prices'!$D$8:$D$70,C47)/J50</f>
        <v>391.91137615794196</v>
      </c>
      <c r="AF50" s="91">
        <f>-1*(SUMIFS('DMS marginal prices'!$G$8:$G$70,'DMS marginal prices'!$F$8:$F$70,G50,'DMS marginal prices'!$D$8:$D$70,"SUPELC")*0.7+SUMIFS('DMS marginal prices'!$G$8:$G$70,'DMS marginal prices'!$F$8:$F$70,G50,'DMS marginal prices'!$D$8:$D$70,E48)*M50)</f>
        <v>-52.97170529460589</v>
      </c>
      <c r="AG50" s="82">
        <f>SUM(AC50:AF50)*1000/K49</f>
        <v>4969.052064119488</v>
      </c>
      <c r="AH50" s="75"/>
      <c r="AI50" s="75"/>
      <c r="AJ50" s="75"/>
      <c r="AK50" s="46">
        <v>0.31</v>
      </c>
      <c r="AL50" s="75">
        <v>19.37</v>
      </c>
      <c r="AM50" s="75">
        <v>0.89400000000000002</v>
      </c>
      <c r="AN50" s="75">
        <v>3.931944444444444</v>
      </c>
      <c r="AO50" s="75"/>
      <c r="AP50" s="75">
        <v>2.2727272727272729</v>
      </c>
      <c r="AQ50" s="75"/>
      <c r="AS50" s="66">
        <f>(AK50+AK50*AP50)/(1+AP50*AR50)</f>
        <v>1.0145454545454546</v>
      </c>
      <c r="AT50" s="46">
        <f>AS50-AK50+J50</f>
        <v>0.90454545454545454</v>
      </c>
      <c r="AV50" s="46">
        <f>($AT50-$J50)/($J50-($AT50)*$N50)</f>
        <v>3.5227272727272729</v>
      </c>
      <c r="AW50" s="66">
        <v>70</v>
      </c>
      <c r="AY50" s="66">
        <v>1</v>
      </c>
      <c r="AZ50" s="66">
        <v>49</v>
      </c>
    </row>
    <row r="51" spans="1:55" ht="30.6" customHeight="1">
      <c r="A51" s="75"/>
      <c r="B51" s="75"/>
      <c r="C51" s="75"/>
      <c r="D51" s="75"/>
      <c r="E51" s="75"/>
      <c r="F51" s="75"/>
      <c r="G51" s="75">
        <v>2030</v>
      </c>
      <c r="H51" s="75"/>
      <c r="I51" s="75"/>
      <c r="J51" s="67">
        <f>AK51-CCS!$N$51/100</f>
        <v>0.21099999999999999</v>
      </c>
      <c r="L51" s="68">
        <f>AV51</f>
        <v>3.275408109531333</v>
      </c>
      <c r="M51" s="75"/>
      <c r="N51" s="75"/>
      <c r="O51" s="69">
        <f>AL51+CCS!N$54/1000*7.45</f>
        <v>25.702500000000001</v>
      </c>
      <c r="P51" s="69">
        <f>O51*CCS!E$59/100</f>
        <v>0.64256249999999993</v>
      </c>
      <c r="Q51" s="69">
        <f>AN51+CCS!$N$60/3.6*7.45</f>
        <v>7.8638888888888889</v>
      </c>
      <c r="R51" s="75"/>
      <c r="S51" s="75"/>
      <c r="T51" s="75"/>
      <c r="U51" s="75"/>
      <c r="V51" s="75"/>
      <c r="W51" s="75"/>
      <c r="X51" s="69">
        <f t="shared" si="8"/>
        <v>40</v>
      </c>
      <c r="Y51" s="69">
        <f t="shared" si="8"/>
        <v>0</v>
      </c>
      <c r="Z51" s="69">
        <f t="shared" si="8"/>
        <v>1</v>
      </c>
      <c r="AA51" s="69">
        <f t="shared" si="8"/>
        <v>49</v>
      </c>
      <c r="AB51" s="75"/>
      <c r="AC51" s="82">
        <f>-1*PMT($AC$1,U47,O51*1000000)/R47*S47/1000000</f>
        <v>46.953980408642963</v>
      </c>
      <c r="AD51" s="82">
        <f>P51*1000000/R47*S47/1000000</f>
        <v>18.337970890410951</v>
      </c>
      <c r="AE51" s="91">
        <f>SUMIFS('DMS marginal prices'!$G$8:$G$70,'DMS marginal prices'!$F$8:$F$70,G51,'DMS marginal prices'!$D$8:$D$70,C47)/J51</f>
        <v>401.32416039372612</v>
      </c>
      <c r="AF51" s="91">
        <f>-1*(SUMIFS('DMS marginal prices'!$G$8:$G$70,'DMS marginal prices'!$F$8:$F$70,G51,'DMS marginal prices'!$D$8:$D$70,"SUPELC")*0.7+SUMIFS('DMS marginal prices'!$G$8:$G$70,'DMS marginal prices'!$F$8:$F$70,G51,'DMS marginal prices'!$D$8:$D$70,E48)*M51)</f>
        <v>-96.383017979453641</v>
      </c>
      <c r="AG51" s="82">
        <f>SUM(AC51:AF51)*1000/K49</f>
        <v>4498.4701916517997</v>
      </c>
      <c r="AH51" s="75"/>
      <c r="AI51" s="75"/>
      <c r="AJ51" s="75"/>
      <c r="AK51" s="46">
        <v>0.311</v>
      </c>
      <c r="AL51" s="75">
        <v>18.625</v>
      </c>
      <c r="AM51" s="75">
        <v>0.81950000000000001</v>
      </c>
      <c r="AN51" s="75">
        <v>3.931944444444444</v>
      </c>
      <c r="AO51" s="75"/>
      <c r="AP51" s="75">
        <v>2.2222222222222223</v>
      </c>
      <c r="AQ51" s="75"/>
      <c r="AS51" s="66">
        <f>(AK51+AK51*AP51)/(1+AP51*AR51)</f>
        <v>1.0021111111111112</v>
      </c>
      <c r="AT51" s="46">
        <f>AS51-AK51+J51</f>
        <v>0.9021111111111112</v>
      </c>
      <c r="AV51" s="46">
        <f>($AT51-$J51)/($J51-($AT51)*$N51)</f>
        <v>3.275408109531333</v>
      </c>
      <c r="AW51" s="66">
        <v>40</v>
      </c>
      <c r="AY51" s="66">
        <v>1</v>
      </c>
      <c r="AZ51" s="66">
        <v>49</v>
      </c>
    </row>
    <row r="52" spans="1:55" ht="30.6" customHeight="1">
      <c r="A52" s="75"/>
      <c r="B52" s="75"/>
      <c r="C52" s="75"/>
      <c r="D52" s="75"/>
      <c r="E52" s="75"/>
      <c r="F52" s="75"/>
      <c r="G52" s="75">
        <v>2050</v>
      </c>
      <c r="H52" s="75"/>
      <c r="I52" s="75"/>
      <c r="J52" s="67">
        <f>AK52-CCS!$P$51/100</f>
        <v>0.21099999999999999</v>
      </c>
      <c r="L52" s="68">
        <f>AV52</f>
        <v>3.275408109531333</v>
      </c>
      <c r="M52" s="75"/>
      <c r="N52" s="75"/>
      <c r="O52" s="69">
        <f>AL52+CCS!P$54/1000*7.45</f>
        <v>24.212499999999999</v>
      </c>
      <c r="P52" s="69">
        <f>O52*CCS!G$59/100</f>
        <v>0.60531250000000003</v>
      </c>
      <c r="Q52" s="69">
        <f>AN52+CCS!$P$60/3.6*7.45</f>
        <v>7.8638888888888889</v>
      </c>
      <c r="R52" s="75"/>
      <c r="S52" s="75"/>
      <c r="T52" s="75"/>
      <c r="U52" s="75"/>
      <c r="V52" s="75"/>
      <c r="W52" s="75"/>
      <c r="X52" s="69">
        <f t="shared" si="8"/>
        <v>20</v>
      </c>
      <c r="Y52" s="69">
        <f t="shared" si="8"/>
        <v>0</v>
      </c>
      <c r="Z52" s="69">
        <f t="shared" si="8"/>
        <v>0</v>
      </c>
      <c r="AA52" s="69">
        <f t="shared" si="8"/>
        <v>49</v>
      </c>
      <c r="AB52" s="75"/>
      <c r="AC52" s="82">
        <f>-1*PMT($AC$1,U47,O52*1000000)/R47*S47/1000000</f>
        <v>44.232010529881052</v>
      </c>
      <c r="AD52" s="82">
        <f>P52*1000000/R47*S47/1000000</f>
        <v>17.274900114155251</v>
      </c>
      <c r="AE52" s="91">
        <f>SUMIFS('DMS marginal prices'!$G$8:$G$70,'DMS marginal prices'!$F$8:$F$70,G52,'DMS marginal prices'!$D$8:$D$70,C47)/J52</f>
        <v>455.43417730980997</v>
      </c>
      <c r="AF52" s="91">
        <f>-1*(SUMIFS('DMS marginal prices'!$G$8:$G$70,'DMS marginal prices'!$F$8:$F$70,G52,'DMS marginal prices'!$D$8:$D$70,"SUPELC")*0.7+SUMIFS('DMS marginal prices'!$G$8:$G$70,'DMS marginal prices'!$F$8:$F$70,G52,'DMS marginal prices'!$D$8:$D$70,E48)*M52)</f>
        <v>-73.422312303156488</v>
      </c>
      <c r="AG52" s="82">
        <f>SUM(AC52:AF52)*1000/K49</f>
        <v>5388.9185639557945</v>
      </c>
      <c r="AH52" s="75"/>
      <c r="AI52" s="75"/>
      <c r="AJ52" s="75"/>
      <c r="AK52" s="46">
        <v>0.311</v>
      </c>
      <c r="AL52" s="75">
        <v>17.134999999999998</v>
      </c>
      <c r="AM52" s="75">
        <v>0.745</v>
      </c>
      <c r="AN52" s="75">
        <v>3.931944444444444</v>
      </c>
      <c r="AO52" s="75"/>
      <c r="AP52" s="75">
        <v>2.2222222222222223</v>
      </c>
      <c r="AQ52" s="75"/>
      <c r="AS52" s="66">
        <f>(AK52+AK52*AP52)/(1+AP52*AR52)</f>
        <v>1.0021111111111112</v>
      </c>
      <c r="AT52" s="46">
        <f>AS52-AK52+J52</f>
        <v>0.9021111111111112</v>
      </c>
      <c r="AV52" s="46">
        <f>($AT52-$J52)/($J52-($AT52)*$N52)</f>
        <v>3.275408109531333</v>
      </c>
      <c r="AW52" s="66">
        <v>20</v>
      </c>
      <c r="AY52" s="66">
        <v>0</v>
      </c>
      <c r="AZ52" s="66">
        <v>49</v>
      </c>
    </row>
    <row r="53" spans="1:55" ht="30.6" customHeight="1">
      <c r="A53" s="75" t="str">
        <f>"ECCCS"&amp;RIGHT(C53,3)&amp;"POCN1"</f>
        <v>ECCCSWCHPOCN1</v>
      </c>
      <c r="B53" s="75" t="s">
        <v>199</v>
      </c>
      <c r="C53" s="75" t="s">
        <v>183</v>
      </c>
      <c r="D53" s="75"/>
      <c r="E53" s="76" t="s">
        <v>17</v>
      </c>
      <c r="F53" s="76"/>
      <c r="G53" s="75">
        <v>2013</v>
      </c>
      <c r="H53" s="74">
        <v>2025</v>
      </c>
      <c r="I53" s="75"/>
      <c r="J53" s="67">
        <f>AK53-CCS!$L$111/100</f>
        <v>0.19899999999999998</v>
      </c>
      <c r="K53" s="75"/>
      <c r="L53" s="68">
        <f>AV53</f>
        <v>4.2713567839195985</v>
      </c>
      <c r="M53" s="75"/>
      <c r="N53" s="75"/>
      <c r="O53" s="69">
        <f>AL53+CCS!L$114/1000*7.45</f>
        <v>35.76</v>
      </c>
      <c r="P53" s="69">
        <f>O53*CCS!C$119/100</f>
        <v>0.89399999999999991</v>
      </c>
      <c r="Q53" s="69">
        <f>MAX(AN53, AN53+CCS!$L$120/3.6*7.45)</f>
        <v>7.863888888888888</v>
      </c>
      <c r="R53" s="68">
        <v>3.1536000000000002E-2</v>
      </c>
      <c r="S53" s="68">
        <v>0.9</v>
      </c>
      <c r="T53" s="68">
        <v>1</v>
      </c>
      <c r="U53" s="68">
        <v>25</v>
      </c>
      <c r="V53" s="68">
        <v>1</v>
      </c>
      <c r="W53" s="68"/>
      <c r="X53" s="69">
        <f t="shared" si="8"/>
        <v>30</v>
      </c>
      <c r="Y53" s="69">
        <f t="shared" si="8"/>
        <v>3</v>
      </c>
      <c r="Z53" s="69">
        <f t="shared" si="8"/>
        <v>1</v>
      </c>
      <c r="AA53" s="69">
        <f t="shared" si="8"/>
        <v>1.9</v>
      </c>
      <c r="AB53" s="75"/>
      <c r="AC53" s="82">
        <f>-1*PMT($AC$1,U53,O53*1000000)/R53*S53/1000000</f>
        <v>65.327277090285861</v>
      </c>
      <c r="AD53" s="82">
        <f>P53*1000000/R53*S53/1000000</f>
        <v>25.513698630136982</v>
      </c>
      <c r="AE53" s="91">
        <f>SUMIFS('DMS marginal prices'!$G$8:$G$70,'DMS marginal prices'!$F$8:$F$70,G53,'DMS marginal prices'!$D$8:$D$70,C53)/J53</f>
        <v>0</v>
      </c>
      <c r="AF53" s="91">
        <f>SUMIFS('DMS marginal prices'!$G$8:$G$70,'DMS marginal prices'!$F$8:$F$70,G53,'DMS marginal prices'!$D$8:$D$70,"SUPELC")*0.7+SUMIFS('DMS marginal prices'!$G$8:$G$70,'DMS marginal prices'!$F$8:$F$70,G54,'DMS marginal prices'!$D$8:$D$70,E54)*M53</f>
        <v>0</v>
      </c>
      <c r="AG53" s="82">
        <f>SUM(AC53:AF55)*1000/K55</f>
        <v>1066.9600155088426</v>
      </c>
      <c r="AH53" s="75"/>
      <c r="AI53" s="75"/>
      <c r="AJ53" s="75"/>
      <c r="AK53" s="67">
        <v>0.28899999999999998</v>
      </c>
      <c r="AL53" s="75">
        <v>25.33</v>
      </c>
      <c r="AM53" s="75">
        <v>0.44700000000000001</v>
      </c>
      <c r="AN53" s="75">
        <v>7.863888888888888</v>
      </c>
      <c r="AO53" s="75"/>
      <c r="AP53" s="75">
        <v>2.9411764705882351</v>
      </c>
      <c r="AQ53" s="75"/>
      <c r="AS53" s="66">
        <f>(AK53+AK53*AP53)/(1+AP53*AR53)</f>
        <v>1.1389999999999998</v>
      </c>
      <c r="AT53" s="46">
        <f>AS53-AK53+J53</f>
        <v>1.0489999999999999</v>
      </c>
      <c r="AV53" s="46">
        <f>($AT53-$J53)/($J53-($AT53)*$N53)</f>
        <v>4.2713567839195985</v>
      </c>
      <c r="AW53" s="66">
        <v>30</v>
      </c>
      <c r="AX53" s="66">
        <v>3</v>
      </c>
      <c r="AY53" s="66">
        <v>1</v>
      </c>
      <c r="AZ53" s="66">
        <v>1.9</v>
      </c>
    </row>
    <row r="54" spans="1:55" ht="30.6" customHeight="1">
      <c r="B54" s="66"/>
      <c r="C54" s="75"/>
      <c r="D54" s="75"/>
      <c r="E54" s="195" t="s">
        <v>601</v>
      </c>
      <c r="F54" s="76"/>
      <c r="G54" s="74">
        <v>2013</v>
      </c>
      <c r="H54" s="75"/>
      <c r="I54" s="75"/>
      <c r="K54" s="75"/>
      <c r="L54" s="75"/>
      <c r="M54" s="75"/>
      <c r="N54" s="75"/>
      <c r="R54" s="75"/>
      <c r="S54" s="75"/>
      <c r="T54" s="75"/>
      <c r="U54" s="75"/>
      <c r="V54" s="75"/>
      <c r="W54" s="75"/>
      <c r="X54" s="69"/>
      <c r="Y54" s="69"/>
      <c r="Z54" s="69"/>
      <c r="AA54" s="69"/>
      <c r="AB54" s="75"/>
      <c r="AC54" s="91"/>
      <c r="AD54" s="91"/>
      <c r="AF54" s="91"/>
      <c r="AG54" s="91"/>
      <c r="AH54" s="75"/>
      <c r="AI54" s="75"/>
      <c r="AJ54" s="75"/>
      <c r="AK54" s="67"/>
      <c r="AL54" s="75"/>
      <c r="AM54" s="75"/>
      <c r="AN54" s="75"/>
      <c r="AO54" s="75"/>
      <c r="AP54" s="75"/>
      <c r="AQ54" s="75"/>
    </row>
    <row r="55" spans="1:55" ht="30.6" customHeight="1">
      <c r="A55" s="75"/>
      <c r="B55" s="66"/>
      <c r="C55" s="75"/>
      <c r="D55" s="75"/>
      <c r="E55" s="76"/>
      <c r="F55" s="74" t="str">
        <f>ELC_CCS_Comm!$C$14</f>
        <v>CO2BIOE</v>
      </c>
      <c r="G55" s="74">
        <v>2013</v>
      </c>
      <c r="H55" s="75"/>
      <c r="I55" s="75"/>
      <c r="K55" s="74">
        <f>Emissions!C11*CCS!$C$112/100</f>
        <v>85.14</v>
      </c>
      <c r="L55" s="66"/>
      <c r="M55" s="75"/>
      <c r="N55" s="75"/>
      <c r="R55" s="75"/>
      <c r="S55" s="75"/>
      <c r="T55" s="75"/>
      <c r="U55" s="75"/>
      <c r="V55" s="75"/>
      <c r="W55" s="75"/>
      <c r="X55" s="69"/>
      <c r="Y55" s="69"/>
      <c r="Z55" s="69"/>
      <c r="AA55" s="69"/>
      <c r="AB55" s="75"/>
      <c r="AC55" s="82"/>
      <c r="AD55" s="82"/>
      <c r="AE55" s="91"/>
      <c r="AF55" s="91"/>
      <c r="AG55" s="82"/>
      <c r="AH55" s="75"/>
      <c r="AI55" s="75"/>
      <c r="AJ55" s="75"/>
      <c r="AK55" s="67"/>
      <c r="AL55" s="75"/>
      <c r="AM55" s="75"/>
      <c r="AN55" s="75"/>
      <c r="AO55" s="75"/>
      <c r="AQ55" s="75"/>
    </row>
    <row r="56" spans="1:55" ht="30.6" customHeight="1">
      <c r="A56" s="75"/>
      <c r="B56" s="75"/>
      <c r="C56" s="75"/>
      <c r="D56" s="75"/>
      <c r="E56" s="76"/>
      <c r="F56" s="76"/>
      <c r="G56" s="75">
        <v>2020</v>
      </c>
      <c r="H56" s="75"/>
      <c r="I56" s="75"/>
      <c r="J56" s="67">
        <f>AK56-CCS!$M$111/100</f>
        <v>0.19999999999999998</v>
      </c>
      <c r="L56" s="68">
        <f>AV56</f>
        <v>4.2647058823529411</v>
      </c>
      <c r="M56" s="75"/>
      <c r="N56" s="75"/>
      <c r="O56" s="69">
        <f>AL56+CCS!M$114/1000*7.45</f>
        <v>32.78</v>
      </c>
      <c r="P56" s="69">
        <f>O56*CCS!D$119/100</f>
        <v>0.81950000000000001</v>
      </c>
      <c r="Q56" s="69">
        <f>MAX(AN56, AN56+CCS!$L$120/3.6*7.45)</f>
        <v>7.863888888888888</v>
      </c>
      <c r="R56" s="68"/>
      <c r="S56" s="68"/>
      <c r="T56" s="68"/>
      <c r="U56" s="68"/>
      <c r="V56" s="68"/>
      <c r="W56" s="68"/>
      <c r="X56" s="69">
        <f t="shared" ref="X56:AA59" si="9">AW56</f>
        <v>20</v>
      </c>
      <c r="Y56" s="69">
        <f t="shared" si="9"/>
        <v>2</v>
      </c>
      <c r="Z56" s="69">
        <f t="shared" si="9"/>
        <v>1</v>
      </c>
      <c r="AA56" s="69">
        <f t="shared" si="9"/>
        <v>1.9</v>
      </c>
      <c r="AB56" s="75"/>
      <c r="AC56" s="82">
        <f>-1*PMT($AC$1,U53,O56*1000000)/R53*S53/1000000</f>
        <v>59.883337332762032</v>
      </c>
      <c r="AD56" s="82">
        <f>P56*1000000/R53*S53/1000000</f>
        <v>23.387557077625569</v>
      </c>
      <c r="AE56" s="91">
        <f>SUMIFS('DMS marginal prices'!$G$8:$G$70,'DMS marginal prices'!$F$8:$F$70,G56,'DMS marginal prices'!$D$8:$D$70,C53)/J56</f>
        <v>321.14459645776054</v>
      </c>
      <c r="AF56" s="91">
        <f>-1*(SUMIFS('DMS marginal prices'!$G$8:$G$70,'DMS marginal prices'!$F$8:$F$70,G56,'DMS marginal prices'!$D$8:$D$70,"SUPELC")*0.7+SUMIFS('DMS marginal prices'!$G$8:$G$70,'DMS marginal prices'!$F$8:$F$70,G56,'DMS marginal prices'!$D$8:$D$70,E54)*M56)</f>
        <v>-52.97170529460589</v>
      </c>
      <c r="AG56" s="82">
        <f>SUM(AC56:AF56)*1000/K55</f>
        <v>4127.8339860646256</v>
      </c>
      <c r="AH56" s="75"/>
      <c r="AI56" s="75"/>
      <c r="AJ56" s="75"/>
      <c r="AK56" s="67">
        <v>0.28999999999999998</v>
      </c>
      <c r="AL56" s="75">
        <v>24.585000000000001</v>
      </c>
      <c r="AM56" s="75">
        <v>0.44700000000000001</v>
      </c>
      <c r="AN56" s="75">
        <v>7.863888888888888</v>
      </c>
      <c r="AO56" s="75"/>
      <c r="AP56" s="75">
        <v>2.9411764705882351</v>
      </c>
      <c r="AQ56" s="75"/>
      <c r="AS56" s="66">
        <f>(AK56+AK56*AP56)/(1+AP56*AR56)</f>
        <v>1.1429411764705881</v>
      </c>
      <c r="AT56" s="46">
        <f>AS56-AK56+J56</f>
        <v>1.052941176470588</v>
      </c>
      <c r="AV56" s="46">
        <f>($AT56-$J56)/($J56-($AT56)*$N56)</f>
        <v>4.2647058823529411</v>
      </c>
      <c r="AW56" s="66">
        <v>20</v>
      </c>
      <c r="AX56" s="66">
        <v>2</v>
      </c>
      <c r="AY56" s="66">
        <v>1</v>
      </c>
      <c r="AZ56" s="66">
        <v>1.9</v>
      </c>
    </row>
    <row r="57" spans="1:55" ht="30.6" customHeight="1">
      <c r="A57" s="75"/>
      <c r="B57" s="75"/>
      <c r="C57" s="75"/>
      <c r="D57" s="75"/>
      <c r="E57" s="75"/>
      <c r="F57" s="75"/>
      <c r="G57" s="75">
        <v>2030</v>
      </c>
      <c r="H57" s="75"/>
      <c r="I57" s="75"/>
      <c r="J57" s="67">
        <f>AK57-CCS!$N$111/100</f>
        <v>0.20099999999999998</v>
      </c>
      <c r="L57" s="68">
        <f>AV57</f>
        <v>4.2581211589113259</v>
      </c>
      <c r="M57" s="75"/>
      <c r="N57" s="75"/>
      <c r="O57" s="69">
        <f>AL57+CCS!N$114/1000*7.45</f>
        <v>30.172500000000003</v>
      </c>
      <c r="P57" s="69">
        <f>O57*CCS!E$119/100</f>
        <v>0.75431250000000005</v>
      </c>
      <c r="Q57" s="69">
        <f>MAX(AN57, AN57+CCS!$L$120/3.6*7.45)</f>
        <v>7.863888888888888</v>
      </c>
      <c r="R57" s="75"/>
      <c r="S57" s="75"/>
      <c r="T57" s="75"/>
      <c r="U57" s="75"/>
      <c r="V57" s="75"/>
      <c r="W57" s="75"/>
      <c r="X57" s="69">
        <f t="shared" si="9"/>
        <v>20</v>
      </c>
      <c r="Y57" s="69">
        <f t="shared" si="9"/>
        <v>2</v>
      </c>
      <c r="Z57" s="69">
        <f t="shared" si="9"/>
        <v>1</v>
      </c>
      <c r="AA57" s="69">
        <f t="shared" si="9"/>
        <v>1.9</v>
      </c>
      <c r="AB57" s="75"/>
      <c r="AC57" s="82">
        <f>-1*PMT($AC$1,U53,O57*1000000)/R53*S53/1000000</f>
        <v>55.119890044928709</v>
      </c>
      <c r="AD57" s="82">
        <f>P57*1000000/R53*S53/1000000</f>
        <v>21.527183219178085</v>
      </c>
      <c r="AE57" s="91">
        <f>SUMIFS('DMS marginal prices'!$G$8:$G$70,'DMS marginal prices'!$F$8:$F$70,G57,'DMS marginal prices'!$D$8:$D$70,C53)/J57</f>
        <v>488.00081986902541</v>
      </c>
      <c r="AF57" s="91">
        <f>-1*(SUMIFS('DMS marginal prices'!$G$8:$G$70,'DMS marginal prices'!$F$8:$F$70,G57,'DMS marginal prices'!$D$8:$D$70,"SUPELC")*0.7+SUMIFS('DMS marginal prices'!$G$8:$G$70,'DMS marginal prices'!$F$8:$F$70,G57,'DMS marginal prices'!$D$8:$D$70,E54)*M57)</f>
        <v>-96.383017979453641</v>
      </c>
      <c r="AG57" s="82">
        <f>SUM(AC57:AF57)*1000/K55</f>
        <v>5499.9398068320243</v>
      </c>
      <c r="AH57" s="75"/>
      <c r="AI57" s="75"/>
      <c r="AJ57" s="75"/>
      <c r="AK57" s="67">
        <v>0.29099999999999998</v>
      </c>
      <c r="AL57" s="75">
        <v>23.095000000000002</v>
      </c>
      <c r="AM57" s="75">
        <v>0.3725</v>
      </c>
      <c r="AN57" s="75">
        <v>7.863888888888888</v>
      </c>
      <c r="AO57" s="75"/>
      <c r="AP57" s="75">
        <v>2.9411764705882351</v>
      </c>
      <c r="AQ57" s="75"/>
      <c r="AS57" s="66">
        <f>(AK57+AK57*AP57)/(1+AP57*AR57)</f>
        <v>1.1468823529411762</v>
      </c>
      <c r="AT57" s="46">
        <f>AS57-AK57+J57</f>
        <v>1.0568823529411764</v>
      </c>
      <c r="AV57" s="46">
        <f>($AT57-$J57)/($J57-($AT57)*$N57)</f>
        <v>4.2581211589113259</v>
      </c>
      <c r="AW57" s="66">
        <v>20</v>
      </c>
      <c r="AX57" s="66">
        <v>2</v>
      </c>
      <c r="AY57" s="66">
        <v>1</v>
      </c>
      <c r="AZ57" s="66">
        <v>1.9</v>
      </c>
    </row>
    <row r="58" spans="1:55" ht="30.6" customHeight="1">
      <c r="A58" s="75"/>
      <c r="B58" s="75"/>
      <c r="C58" s="75"/>
      <c r="D58" s="75"/>
      <c r="E58" s="75"/>
      <c r="F58" s="75"/>
      <c r="G58" s="75">
        <v>2050</v>
      </c>
      <c r="H58" s="75"/>
      <c r="I58" s="75"/>
      <c r="J58" s="67">
        <f>AK58-CCS!$P$111/100</f>
        <v>0.20099999999999998</v>
      </c>
      <c r="L58" s="68">
        <f>AV58</f>
        <v>4.2581211589113259</v>
      </c>
      <c r="M58" s="75"/>
      <c r="N58" s="75"/>
      <c r="O58" s="69">
        <f>AL58+CCS!P$114/1000*7.45</f>
        <v>27.9375</v>
      </c>
      <c r="P58" s="69">
        <f>O58*CCS!G$119/100</f>
        <v>0.69843750000000004</v>
      </c>
      <c r="Q58" s="69">
        <f>MAX(AN58, AN58+CCS!$L$120/3.6*7.45)</f>
        <v>7.863888888888888</v>
      </c>
      <c r="R58" s="75"/>
      <c r="S58" s="75"/>
      <c r="T58" s="75"/>
      <c r="U58" s="75"/>
      <c r="V58" s="75"/>
      <c r="W58" s="75"/>
      <c r="X58" s="69">
        <f t="shared" si="9"/>
        <v>10</v>
      </c>
      <c r="Y58" s="69">
        <f t="shared" si="9"/>
        <v>1</v>
      </c>
      <c r="Z58" s="69">
        <f t="shared" si="9"/>
        <v>0</v>
      </c>
      <c r="AA58" s="69">
        <f t="shared" si="9"/>
        <v>1.9</v>
      </c>
      <c r="AB58" s="75"/>
      <c r="AC58" s="82">
        <f>-1*PMT($AC$1,U53,O58*1000000)/R53*S53/1000000</f>
        <v>51.036935226785822</v>
      </c>
      <c r="AD58" s="82">
        <f>P58*1000000/R53*S53/1000000</f>
        <v>19.932577054794521</v>
      </c>
      <c r="AE58" s="91">
        <f>SUMIFS('DMS marginal prices'!$G$8:$G$70,'DMS marginal prices'!$F$8:$F$70,G58,'DMS marginal prices'!$D$8:$D$70,C53)/J58</f>
        <v>499.35759130218617</v>
      </c>
      <c r="AF58" s="91">
        <f>-1*(SUMIFS('DMS marginal prices'!$G$8:$G$70,'DMS marginal prices'!$F$8:$F$70,G58,'DMS marginal prices'!$D$8:$D$70,"SUPELC")*0.7+SUMIFS('DMS marginal prices'!$G$8:$G$70,'DMS marginal prices'!$F$8:$F$70,G58,'DMS marginal prices'!$D$8:$D$70,E54)*M58)</f>
        <v>-73.422312303156488</v>
      </c>
      <c r="AG58" s="82">
        <f>SUM(AC58:AF58)*1000/K55</f>
        <v>5836.3259487973928</v>
      </c>
      <c r="AH58" s="75"/>
      <c r="AI58" s="75"/>
      <c r="AJ58" s="75"/>
      <c r="AK58" s="67">
        <v>0.29099999999999998</v>
      </c>
      <c r="AL58" s="75">
        <v>20.86</v>
      </c>
      <c r="AM58" s="75">
        <v>0.3725</v>
      </c>
      <c r="AN58" s="75">
        <v>7.863888888888888</v>
      </c>
      <c r="AO58" s="75"/>
      <c r="AP58" s="75">
        <v>2.9411764705882351</v>
      </c>
      <c r="AQ58" s="75"/>
      <c r="AS58" s="66">
        <f>(AK58+AK58*AP58)/(1+AP58*AR58)</f>
        <v>1.1468823529411762</v>
      </c>
      <c r="AT58" s="46">
        <f>AS58-AK58+J58</f>
        <v>1.0568823529411764</v>
      </c>
      <c r="AV58" s="46">
        <f>($AT58-$J58)/($J58-($AT58)*$N58)</f>
        <v>4.2581211589113259</v>
      </c>
      <c r="AW58" s="66">
        <v>10</v>
      </c>
      <c r="AX58" s="66">
        <v>1</v>
      </c>
      <c r="AY58" s="66">
        <v>0</v>
      </c>
      <c r="AZ58" s="66">
        <v>1.9</v>
      </c>
    </row>
    <row r="59" spans="1:55" ht="30.6" customHeight="1">
      <c r="A59" s="75" t="str">
        <f>"ECCCS"&amp;RIGHT(C59,3)&amp;"OXCN1"</f>
        <v>ECCCSSTROXCN1</v>
      </c>
      <c r="B59" s="75" t="s">
        <v>200</v>
      </c>
      <c r="C59" s="75" t="s">
        <v>23</v>
      </c>
      <c r="D59" s="75"/>
      <c r="E59" s="76" t="s">
        <v>17</v>
      </c>
      <c r="F59" s="76"/>
      <c r="G59" s="75">
        <v>2013</v>
      </c>
      <c r="H59" s="74">
        <v>2025</v>
      </c>
      <c r="I59" s="75"/>
      <c r="J59" s="67">
        <f>AK59-CCS!$L$111/100</f>
        <v>0.22</v>
      </c>
      <c r="K59" s="75"/>
      <c r="L59" s="68">
        <f>AV59</f>
        <v>3.2024793388429704</v>
      </c>
      <c r="M59" s="75"/>
      <c r="N59" s="75"/>
      <c r="O59" s="69">
        <f>AL59+CCS!L$114/1000*7.45</f>
        <v>30.545000000000002</v>
      </c>
      <c r="P59" s="69">
        <f>O59*CCS!C$119/100</f>
        <v>0.76362500000000011</v>
      </c>
      <c r="Q59" s="69">
        <f>MAX(AN59, AN59+CCS!$L$120/3.6*7.45)</f>
        <v>3.931944444444444</v>
      </c>
      <c r="R59" s="68">
        <v>3.1536000000000002E-2</v>
      </c>
      <c r="S59" s="68">
        <v>0.9</v>
      </c>
      <c r="T59" s="68">
        <v>1</v>
      </c>
      <c r="U59" s="68">
        <v>25</v>
      </c>
      <c r="V59" s="68">
        <v>1</v>
      </c>
      <c r="W59" s="68"/>
      <c r="X59" s="69">
        <f t="shared" si="9"/>
        <v>80</v>
      </c>
      <c r="Y59" s="69">
        <f t="shared" si="9"/>
        <v>0</v>
      </c>
      <c r="Z59" s="69">
        <f t="shared" si="9"/>
        <v>1</v>
      </c>
      <c r="AA59" s="69">
        <f t="shared" si="9"/>
        <v>49</v>
      </c>
      <c r="AB59" s="75"/>
      <c r="AC59" s="82">
        <f>-1*PMT($AC$1,U59,O59*1000000)/R59*S59/1000000</f>
        <v>55.800382514619173</v>
      </c>
      <c r="AD59" s="82">
        <f>P59*1000000/R59*S59/1000000</f>
        <v>21.792950913242013</v>
      </c>
      <c r="AE59" s="91">
        <f>SUMIFS('DMS marginal prices'!$G$8:$G$70,'DMS marginal prices'!$F$8:$F$70,G59,'DMS marginal prices'!$D$8:$D$70,C59)/J59</f>
        <v>0</v>
      </c>
      <c r="AF59" s="91">
        <f>SUMIFS('DMS marginal prices'!$G$8:$G$70,'DMS marginal prices'!$F$8:$F$70,G59,'DMS marginal prices'!$D$8:$D$70,"SUPELC")*0.7+SUMIFS('DMS marginal prices'!$G$8:$G$70,'DMS marginal prices'!$F$8:$F$70,G60,'DMS marginal prices'!$D$8:$D$70,E60)*M59</f>
        <v>0</v>
      </c>
      <c r="AG59" s="82">
        <f>SUM(AC59:AF61)*1000/K61</f>
        <v>911.36167991380296</v>
      </c>
      <c r="AH59" s="75"/>
      <c r="AI59" s="75"/>
      <c r="AJ59" s="75"/>
      <c r="AK59" s="46">
        <v>0.31</v>
      </c>
      <c r="AL59" s="75">
        <v>20.115000000000002</v>
      </c>
      <c r="AM59" s="75">
        <v>0.89400000000000002</v>
      </c>
      <c r="AN59" s="75">
        <v>3.931944444444444</v>
      </c>
      <c r="AO59" s="75"/>
      <c r="AP59" s="75">
        <v>2.2727272727272698</v>
      </c>
      <c r="AQ59" s="75"/>
      <c r="AS59" s="66">
        <f>(AK59+AK59*AP59)/(1+AP59*AR59)</f>
        <v>1.0145454545454535</v>
      </c>
      <c r="AT59" s="46">
        <f>AS59-AK59+J59</f>
        <v>0.92454545454545345</v>
      </c>
      <c r="AV59" s="46">
        <f>($AT59-$J59)/($J59-($AT59)*$N59)</f>
        <v>3.2024793388429704</v>
      </c>
      <c r="AW59" s="66">
        <v>80</v>
      </c>
      <c r="AY59" s="66">
        <v>1</v>
      </c>
      <c r="AZ59" s="66">
        <v>49</v>
      </c>
    </row>
    <row r="60" spans="1:55" ht="30.6" customHeight="1">
      <c r="A60" s="75"/>
      <c r="B60" s="75"/>
      <c r="C60" s="75"/>
      <c r="D60" s="75"/>
      <c r="E60" s="195" t="s">
        <v>601</v>
      </c>
      <c r="F60" s="76"/>
      <c r="G60" s="74">
        <v>2013</v>
      </c>
      <c r="H60" s="75"/>
      <c r="I60" s="75"/>
      <c r="K60" s="75"/>
      <c r="L60" s="75"/>
      <c r="M60" s="75"/>
      <c r="N60" s="75"/>
      <c r="R60" s="75"/>
      <c r="S60" s="75"/>
      <c r="T60" s="75"/>
      <c r="U60" s="75"/>
      <c r="V60" s="75"/>
      <c r="W60" s="75"/>
      <c r="X60" s="69"/>
      <c r="Y60" s="69"/>
      <c r="Z60" s="69"/>
      <c r="AA60" s="69"/>
      <c r="AB60" s="75"/>
      <c r="AC60" s="91"/>
      <c r="AD60" s="91"/>
      <c r="AF60" s="91"/>
      <c r="AG60" s="91"/>
      <c r="AH60" s="75"/>
      <c r="AI60" s="75"/>
      <c r="AJ60" s="75"/>
      <c r="AK60" s="46"/>
      <c r="AL60" s="75"/>
      <c r="AM60" s="75"/>
      <c r="AN60" s="75"/>
      <c r="AO60" s="75"/>
      <c r="AP60" s="75"/>
      <c r="AQ60" s="75"/>
    </row>
    <row r="61" spans="1:55" ht="30.6" customHeight="1">
      <c r="A61" s="75"/>
      <c r="B61" s="75"/>
      <c r="C61" s="75"/>
      <c r="D61" s="75"/>
      <c r="E61" s="76"/>
      <c r="F61" s="74" t="str">
        <f>ELC_CCS_Comm!$C$14</f>
        <v>CO2BIOE</v>
      </c>
      <c r="G61" s="74">
        <v>2013</v>
      </c>
      <c r="H61" s="75"/>
      <c r="I61" s="75"/>
      <c r="K61" s="74">
        <f>Emissions!C11*CCS!$C$112/100</f>
        <v>85.14</v>
      </c>
      <c r="L61" s="66"/>
      <c r="M61" s="75"/>
      <c r="N61" s="75"/>
      <c r="R61" s="75"/>
      <c r="S61" s="75"/>
      <c r="T61" s="75"/>
      <c r="U61" s="75"/>
      <c r="V61" s="75"/>
      <c r="W61" s="75"/>
      <c r="X61" s="69"/>
      <c r="Y61" s="69"/>
      <c r="Z61" s="69"/>
      <c r="AA61" s="69"/>
      <c r="AB61" s="75"/>
      <c r="AC61" s="82"/>
      <c r="AD61" s="82"/>
      <c r="AE61" s="91"/>
      <c r="AF61" s="91"/>
      <c r="AG61" s="82"/>
      <c r="AH61" s="75"/>
      <c r="AI61" s="75"/>
      <c r="AJ61" s="75"/>
      <c r="AK61" s="46"/>
      <c r="AL61" s="75"/>
      <c r="AM61" s="75"/>
      <c r="AN61" s="75"/>
      <c r="AO61" s="75"/>
      <c r="AQ61" s="75"/>
    </row>
    <row r="62" spans="1:55" ht="30.6" customHeight="1">
      <c r="A62" s="75"/>
      <c r="B62" s="66"/>
      <c r="C62" s="75"/>
      <c r="D62" s="75"/>
      <c r="E62" s="76"/>
      <c r="F62" s="76"/>
      <c r="G62" s="75">
        <v>2020</v>
      </c>
      <c r="H62" s="75"/>
      <c r="I62" s="75"/>
      <c r="J62" s="67">
        <f>AK62-CCS!$M$111/100</f>
        <v>0.22</v>
      </c>
      <c r="L62" s="68">
        <f>AV62</f>
        <v>3.2024793388429753</v>
      </c>
      <c r="M62" s="75"/>
      <c r="N62" s="75"/>
      <c r="O62" s="69">
        <f>AL62+CCS!M$114/1000*7.45</f>
        <v>27.565000000000001</v>
      </c>
      <c r="P62" s="69">
        <f>O62*CCS!D$119/100</f>
        <v>0.6891250000000001</v>
      </c>
      <c r="Q62" s="69">
        <f>MAX(AN62, AN62+CCS!$L$120/3.6*7.45)</f>
        <v>3.931944444444444</v>
      </c>
      <c r="R62" s="68"/>
      <c r="S62" s="68"/>
      <c r="T62" s="68"/>
      <c r="U62" s="68"/>
      <c r="V62" s="68"/>
      <c r="W62" s="68"/>
      <c r="X62" s="69">
        <f t="shared" ref="X62:AA65" si="10">AW62</f>
        <v>70</v>
      </c>
      <c r="Y62" s="69">
        <f t="shared" si="10"/>
        <v>0</v>
      </c>
      <c r="Z62" s="69">
        <f t="shared" si="10"/>
        <v>1</v>
      </c>
      <c r="AA62" s="69">
        <f t="shared" si="10"/>
        <v>49</v>
      </c>
      <c r="AB62" s="75"/>
      <c r="AC62" s="82">
        <f>-1*PMT($AC$1,U59,O62*1000000)/R59*S59/1000000</f>
        <v>50.356442757095351</v>
      </c>
      <c r="AD62" s="82">
        <f>P62*1000000/R59*S59/1000000</f>
        <v>19.666809360730596</v>
      </c>
      <c r="AE62" s="82">
        <f>SUMIFS('DMS marginal prices'!$G$8:$G$70,'DMS marginal prices'!$F$8:$F$70,G62,'DMS marginal prices'!$D$8:$D$70,C59)/J62</f>
        <v>356.2830692344927</v>
      </c>
      <c r="AF62" s="82">
        <f>-1*(SUMIFS('DMS marginal prices'!$G$8:$G$70,'DMS marginal prices'!$F$8:$F$70,G62,'DMS marginal prices'!$D$8:$D$70,"SUPELC")*0.7+SUMIFS('DMS marginal prices'!$G$8:$G$70,'DMS marginal prices'!$F$8:$F$70,G62,'DMS marginal prices'!$D$8:$D$70,E60)*M62)</f>
        <v>-52.97170529460589</v>
      </c>
      <c r="AG62" s="82">
        <f>SUM(AC62:AF62)*1000/K61</f>
        <v>4384.9496835531218</v>
      </c>
      <c r="AH62" s="75"/>
      <c r="AI62" s="75"/>
      <c r="AJ62" s="75"/>
      <c r="AK62" s="46">
        <v>0.31</v>
      </c>
      <c r="AL62" s="75">
        <v>19.37</v>
      </c>
      <c r="AM62" s="75">
        <v>0.89400000000000002</v>
      </c>
      <c r="AN62" s="75">
        <v>3.931944444444444</v>
      </c>
      <c r="AO62" s="75"/>
      <c r="AP62" s="75">
        <v>2.2727272727272729</v>
      </c>
      <c r="AQ62" s="75"/>
      <c r="AS62" s="66">
        <f>(AK62+AK62*AP62)/(1+AP62*AR62)</f>
        <v>1.0145454545454546</v>
      </c>
      <c r="AT62" s="46">
        <f>AS62-AK62+J62</f>
        <v>0.92454545454545456</v>
      </c>
      <c r="AV62" s="46">
        <f>($AT62-$J62)/($J62-($AT62)*$N62)</f>
        <v>3.2024793388429753</v>
      </c>
      <c r="AW62" s="66">
        <v>70</v>
      </c>
      <c r="AY62" s="66">
        <v>1</v>
      </c>
      <c r="AZ62" s="66">
        <v>49</v>
      </c>
      <c r="BC62" s="46">
        <f>-1*PMT($AC$1,U59,(O62-AL62)*1000000)/R59*S59/1000000</f>
        <v>14.970834333190508</v>
      </c>
    </row>
    <row r="63" spans="1:55" ht="30.6" customHeight="1">
      <c r="A63" s="75"/>
      <c r="B63" s="75"/>
      <c r="C63" s="75"/>
      <c r="D63" s="75"/>
      <c r="E63" s="75"/>
      <c r="F63" s="75"/>
      <c r="G63" s="75">
        <v>2030</v>
      </c>
      <c r="H63" s="75"/>
      <c r="I63" s="75"/>
      <c r="J63" s="67">
        <f>AK63-CCS!$N$111/100</f>
        <v>0.221</v>
      </c>
      <c r="L63" s="68">
        <f>AV63</f>
        <v>3.1271995977878335</v>
      </c>
      <c r="M63" s="75"/>
      <c r="N63" s="75"/>
      <c r="O63" s="69">
        <f>AL63+CCS!N$114/1000*7.45</f>
        <v>25.702500000000001</v>
      </c>
      <c r="P63" s="69">
        <f>O63*CCS!E$119/100</f>
        <v>0.64256249999999993</v>
      </c>
      <c r="Q63" s="69">
        <f>MAX(AN63, AN63+CCS!$L$120/3.6*7.45)</f>
        <v>3.931944444444444</v>
      </c>
      <c r="R63" s="75"/>
      <c r="S63" s="75"/>
      <c r="T63" s="75"/>
      <c r="U63" s="75"/>
      <c r="V63" s="75"/>
      <c r="W63" s="75"/>
      <c r="X63" s="69">
        <f t="shared" si="10"/>
        <v>40</v>
      </c>
      <c r="Y63" s="69">
        <f t="shared" si="10"/>
        <v>0</v>
      </c>
      <c r="Z63" s="69">
        <f t="shared" si="10"/>
        <v>1</v>
      </c>
      <c r="AA63" s="69">
        <f t="shared" si="10"/>
        <v>49</v>
      </c>
      <c r="AB63" s="75"/>
      <c r="AC63" s="82">
        <f>-1*PMT($AC$1,U59,O63*1000000)/R59*S59/1000000</f>
        <v>46.953980408642963</v>
      </c>
      <c r="AD63" s="82">
        <f>P63*1000000/R59*S59/1000000</f>
        <v>18.337970890410951</v>
      </c>
      <c r="AE63" s="82">
        <f>SUMIFS('DMS marginal prices'!$G$8:$G$70,'DMS marginal prices'!$F$8:$F$70,G63,'DMS marginal prices'!$D$8:$D$70,C59)/J63</f>
        <v>383.16469612251677</v>
      </c>
      <c r="AF63" s="82">
        <f>-1*(SUMIFS('DMS marginal prices'!$G$8:$G$70,'DMS marginal prices'!$F$8:$F$70,G63,'DMS marginal prices'!$D$8:$D$70,"SUPELC")*0.7+SUMIFS('DMS marginal prices'!$G$8:$G$70,'DMS marginal prices'!$F$8:$F$70,G63,'DMS marginal prices'!$D$8:$D$70,E60)*M63)</f>
        <v>-96.383017979453641</v>
      </c>
      <c r="AG63" s="82">
        <f>SUM(AC63:AF63)*1000/K61</f>
        <v>4135.2317294117574</v>
      </c>
      <c r="AH63" s="75"/>
      <c r="AI63" s="75"/>
      <c r="AJ63" s="75"/>
      <c r="AK63" s="46">
        <v>0.311</v>
      </c>
      <c r="AL63" s="75">
        <v>18.625</v>
      </c>
      <c r="AM63" s="75">
        <v>0.81950000000000001</v>
      </c>
      <c r="AN63" s="75">
        <v>3.931944444444444</v>
      </c>
      <c r="AO63" s="75"/>
      <c r="AP63" s="75">
        <v>2.2222222222222223</v>
      </c>
      <c r="AQ63" s="75"/>
      <c r="AS63" s="66">
        <f>(AK63+AK63*AP63)/(1+AP63*AR63)</f>
        <v>1.0021111111111112</v>
      </c>
      <c r="AT63" s="46">
        <f>AS63-AK63+J63</f>
        <v>0.91211111111111121</v>
      </c>
      <c r="AV63" s="46">
        <f>($AT63-$J63)/($J63-($AT63)*$N63)</f>
        <v>3.1271995977878335</v>
      </c>
      <c r="AW63" s="66">
        <v>40</v>
      </c>
      <c r="AY63" s="66">
        <v>1</v>
      </c>
      <c r="AZ63" s="66">
        <v>49</v>
      </c>
      <c r="BC63" s="46">
        <f>-1*PMT($AC$1,U59,(O63-AL63)*1000000)/R59*S59/1000000</f>
        <v>12.929356924119078</v>
      </c>
    </row>
    <row r="64" spans="1:55" ht="30.6" customHeight="1">
      <c r="A64" s="75"/>
      <c r="B64" s="75"/>
      <c r="C64" s="75"/>
      <c r="D64" s="75"/>
      <c r="E64" s="75"/>
      <c r="F64" s="75"/>
      <c r="G64" s="75">
        <v>2050</v>
      </c>
      <c r="H64" s="75"/>
      <c r="I64" s="75"/>
      <c r="J64" s="67">
        <f>AK64-CCS!$P$111/100</f>
        <v>0.221</v>
      </c>
      <c r="L64" s="68">
        <f>AV64</f>
        <v>3.1271995977878335</v>
      </c>
      <c r="M64" s="75"/>
      <c r="N64" s="75"/>
      <c r="O64" s="69">
        <f>AL64+CCS!P$114/1000*7.45</f>
        <v>24.212499999999999</v>
      </c>
      <c r="P64" s="69">
        <f>O64*CCS!G$119/100</f>
        <v>0.60531250000000003</v>
      </c>
      <c r="Q64" s="69">
        <f>MAX(AN64, AN64+CCS!$L$120/3.6*7.45)</f>
        <v>3.931944444444444</v>
      </c>
      <c r="R64" s="75"/>
      <c r="S64" s="75"/>
      <c r="T64" s="75"/>
      <c r="U64" s="75"/>
      <c r="V64" s="75"/>
      <c r="W64" s="75"/>
      <c r="X64" s="69">
        <f t="shared" si="10"/>
        <v>20</v>
      </c>
      <c r="Y64" s="69">
        <f t="shared" si="10"/>
        <v>0</v>
      </c>
      <c r="Z64" s="69">
        <f t="shared" si="10"/>
        <v>0</v>
      </c>
      <c r="AA64" s="69">
        <f t="shared" si="10"/>
        <v>49</v>
      </c>
      <c r="AB64" s="75"/>
      <c r="AC64" s="82">
        <f>-1*PMT($AC$1,U59,O64*1000000)/R59*S59/1000000</f>
        <v>44.232010529881052</v>
      </c>
      <c r="AD64" s="82">
        <f>P64*1000000/R59*S59/1000000</f>
        <v>17.274900114155251</v>
      </c>
      <c r="AE64" s="82">
        <f>SUMIFS('DMS marginal prices'!$G$8:$G$70,'DMS marginal prices'!$F$8:$F$70,G64,'DMS marginal prices'!$D$8:$D$70,C59)/J64</f>
        <v>434.8262959835742</v>
      </c>
      <c r="AF64" s="82">
        <f>-1*(SUMIFS('DMS marginal prices'!$G$8:$G$70,'DMS marginal prices'!$F$8:$F$70,G64,'DMS marginal prices'!$D$8:$D$70,"SUPELC")*0.7+SUMIFS('DMS marginal prices'!$G$8:$G$70,'DMS marginal prices'!$F$8:$F$70,G64,'DMS marginal prices'!$D$8:$D$70,E60)*M64)</f>
        <v>-73.422312303156488</v>
      </c>
      <c r="AG64" s="82">
        <f>SUM(AC64:AF64)*1000/K61</f>
        <v>4967.2409481378199</v>
      </c>
      <c r="AH64" s="75"/>
      <c r="AI64" s="75"/>
      <c r="AJ64" s="75"/>
      <c r="AK64" s="46">
        <v>0.311</v>
      </c>
      <c r="AL64" s="75">
        <v>17.134999999999998</v>
      </c>
      <c r="AM64" s="75">
        <v>0.745</v>
      </c>
      <c r="AN64" s="75">
        <v>3.931944444444444</v>
      </c>
      <c r="AO64" s="75"/>
      <c r="AP64" s="75">
        <v>2.2222222222222223</v>
      </c>
      <c r="AQ64" s="75"/>
      <c r="AS64" s="66">
        <f>(AK64+AK64*AP64)/(1+AP64*AR64)</f>
        <v>1.0021111111111112</v>
      </c>
      <c r="AT64" s="46">
        <f>AS64-AK64+J64</f>
        <v>0.91211111111111121</v>
      </c>
      <c r="AV64" s="46">
        <f>($AT64-$J64)/($J64-($AT64)*$N64)</f>
        <v>3.1271995977878335</v>
      </c>
      <c r="AW64" s="66">
        <v>20</v>
      </c>
      <c r="AY64" s="66">
        <v>0</v>
      </c>
      <c r="AZ64" s="66">
        <v>49</v>
      </c>
      <c r="BC64" s="82">
        <f>-1*PMT($AC$1,U59,(O64-AL64)*1000000)/R59*S59/1000000</f>
        <v>12.929356924119078</v>
      </c>
    </row>
    <row r="65" spans="1:57" ht="30.6" customHeight="1">
      <c r="A65" s="75" t="str">
        <f>"ECCCS"&amp;RIGHT(C65,3)&amp;"POCN1"</f>
        <v>ECCCSWSTPOCN1</v>
      </c>
      <c r="B65" s="75" t="s">
        <v>308</v>
      </c>
      <c r="C65" s="66" t="s">
        <v>22</v>
      </c>
      <c r="D65" s="75"/>
      <c r="E65" s="76" t="s">
        <v>17</v>
      </c>
      <c r="F65" s="76"/>
      <c r="G65" s="75">
        <v>2013</v>
      </c>
      <c r="H65" s="74">
        <v>2025</v>
      </c>
      <c r="I65" s="75"/>
      <c r="J65" s="67">
        <f>AK65-CCS!$L$51/100</f>
        <v>0.12300000000000001</v>
      </c>
      <c r="K65" s="67"/>
      <c r="L65" s="68">
        <f>AV65</f>
        <v>6.3143631436314358</v>
      </c>
      <c r="M65" s="66"/>
      <c r="N65" s="67"/>
      <c r="O65" s="69">
        <f>AL65+CCS!L$54/1000*7.45</f>
        <v>90.14500000000001</v>
      </c>
      <c r="P65" s="69">
        <f>MAX(O65*CCS!C$59/100,AM65)</f>
        <v>2.98</v>
      </c>
      <c r="Q65" s="69">
        <f>AN65+CCS!$L$60/3.6*7.45</f>
        <v>56.909722222222229</v>
      </c>
      <c r="R65" s="68">
        <v>3.1536000000000002E-2</v>
      </c>
      <c r="S65" s="67">
        <v>0.95</v>
      </c>
      <c r="T65" s="68">
        <v>1</v>
      </c>
      <c r="U65" s="62">
        <v>25</v>
      </c>
      <c r="V65" s="69">
        <v>4</v>
      </c>
      <c r="W65" s="69"/>
      <c r="X65" s="69">
        <f t="shared" si="10"/>
        <v>90</v>
      </c>
      <c r="Y65" s="69">
        <f t="shared" si="10"/>
        <v>0.3</v>
      </c>
      <c r="Z65" s="69">
        <f t="shared" si="10"/>
        <v>1.2</v>
      </c>
      <c r="AA65" s="69">
        <f t="shared" si="10"/>
        <v>4.9000000000000004</v>
      </c>
      <c r="AC65" s="82">
        <f>-1*PMT($AC$1,U65,O65*1000000)/R65*S65/1000000</f>
        <v>173.82802086871203</v>
      </c>
      <c r="AD65" s="82">
        <f>P65*1000000/R65*S65/1000000</f>
        <v>89.770421106037531</v>
      </c>
      <c r="AE65" s="82">
        <f>SUMIFS('DMS marginal prices'!$G$8:$G$70,'DMS marginal prices'!$F$8:$F$70,G65,'DMS marginal prices'!$D$8:$D$70,C65)/J65</f>
        <v>0</v>
      </c>
      <c r="AF65" s="82">
        <f>SUMIFS('DMS marginal prices'!$G$8:$G$70,'DMS marginal prices'!$F$8:$F$70,G65,'DMS marginal prices'!$D$8:$D$70,"SUPELC")*0.7+SUMIFS('DMS marginal prices'!$G$8:$G$70,'DMS marginal prices'!$F$8:$F$70,G66,'DMS marginal prices'!$D$8:$D$70,E66)*M65</f>
        <v>0</v>
      </c>
      <c r="AG65" s="82">
        <f>SUM(AC65:AF67)*1000/SUM(K67:K68)</f>
        <v>4094.4150663987198</v>
      </c>
      <c r="AK65" s="67">
        <v>0.23300000000000001</v>
      </c>
      <c r="AL65" s="69">
        <v>79.715000000000003</v>
      </c>
      <c r="AM65" s="69">
        <v>2.98</v>
      </c>
      <c r="AN65" s="69">
        <v>52.977777777777781</v>
      </c>
      <c r="AO65" s="67">
        <v>0.3</v>
      </c>
      <c r="AP65" s="68">
        <f>1/AO65</f>
        <v>3.3333333333333335</v>
      </c>
      <c r="AR65" s="67"/>
      <c r="AS65" s="66">
        <f>(AK65+AK65*AP65)/(1+AP65*AR65)</f>
        <v>1.0096666666666667</v>
      </c>
      <c r="AT65" s="46">
        <f>AS65-AK65+J65</f>
        <v>0.89966666666666673</v>
      </c>
      <c r="AV65" s="46">
        <f>($AT65-$J65)/($J65-($AT65)*$N65)</f>
        <v>6.3143631436314358</v>
      </c>
      <c r="AW65" s="66">
        <v>90</v>
      </c>
      <c r="AX65" s="66">
        <v>0.3</v>
      </c>
      <c r="AY65" s="66">
        <v>1.2</v>
      </c>
      <c r="AZ65" s="66">
        <v>4.9000000000000004</v>
      </c>
    </row>
    <row r="66" spans="1:57" ht="30.6" customHeight="1">
      <c r="C66" s="75"/>
      <c r="D66" s="75"/>
      <c r="E66" s="195" t="s">
        <v>601</v>
      </c>
      <c r="F66" s="76"/>
      <c r="G66" s="74">
        <v>2013</v>
      </c>
      <c r="H66" s="75"/>
      <c r="I66" s="75"/>
      <c r="M66" s="66"/>
      <c r="V66" s="69"/>
      <c r="W66" s="69"/>
      <c r="X66" s="69"/>
      <c r="Y66" s="69"/>
      <c r="Z66" s="69"/>
      <c r="AA66" s="69"/>
      <c r="AC66" s="91"/>
      <c r="AD66" s="91"/>
      <c r="AF66" s="91"/>
      <c r="AG66" s="91"/>
      <c r="AO66" s="67"/>
      <c r="AP66" s="68"/>
      <c r="AQ66" s="68"/>
      <c r="AR66" s="67"/>
      <c r="AS66" s="67"/>
    </row>
    <row r="67" spans="1:57" ht="30.6" customHeight="1">
      <c r="A67" s="75"/>
      <c r="B67" s="75"/>
      <c r="C67" s="75"/>
      <c r="D67" s="75"/>
      <c r="E67" s="76"/>
      <c r="F67" s="74" t="str">
        <f>ELC_CCS_Comm!$C$15</f>
        <v>CO2FOSE</v>
      </c>
      <c r="G67" s="74">
        <v>2013</v>
      </c>
      <c r="H67" s="75"/>
      <c r="I67" s="75"/>
      <c r="K67" s="125">
        <f>Emissions!$K$11*CCS!$C$52/100</f>
        <v>32.19</v>
      </c>
      <c r="M67" s="66"/>
      <c r="V67" s="69"/>
      <c r="W67" s="69"/>
      <c r="X67" s="69"/>
      <c r="Y67" s="69"/>
      <c r="Z67" s="69"/>
      <c r="AA67" s="69"/>
      <c r="AC67" s="82"/>
      <c r="AD67" s="82"/>
      <c r="AE67" s="91"/>
      <c r="AF67" s="91"/>
      <c r="AG67" s="82"/>
      <c r="AO67" s="67"/>
      <c r="AP67" s="68"/>
      <c r="AQ67" s="68"/>
      <c r="AR67" s="67"/>
      <c r="AS67" s="67"/>
      <c r="AT67" s="80"/>
    </row>
    <row r="68" spans="1:57" ht="30.6" customHeight="1">
      <c r="A68" s="75"/>
      <c r="B68" s="75"/>
      <c r="C68" s="75"/>
      <c r="D68" s="75"/>
      <c r="E68" s="76"/>
      <c r="F68" s="74" t="str">
        <f>ELC_CCS_Comm!$C$14</f>
        <v>CO2BIOE</v>
      </c>
      <c r="G68" s="74">
        <v>2013</v>
      </c>
      <c r="H68" s="75"/>
      <c r="I68" s="75"/>
      <c r="K68" s="125">
        <f>Emissions!$K$11*CCS!$C$52/100</f>
        <v>32.19</v>
      </c>
      <c r="M68" s="66"/>
      <c r="V68" s="69"/>
      <c r="W68" s="69"/>
      <c r="X68" s="69"/>
      <c r="Y68" s="69"/>
      <c r="Z68" s="69"/>
      <c r="AA68" s="69"/>
      <c r="AC68" s="82"/>
      <c r="AD68" s="82"/>
      <c r="AE68" s="91"/>
      <c r="AF68" s="91"/>
      <c r="AG68" s="82"/>
      <c r="AO68" s="67"/>
      <c r="AP68" s="68"/>
      <c r="AQ68" s="68"/>
      <c r="AR68" s="67"/>
      <c r="AS68" s="67"/>
      <c r="AT68" s="80"/>
      <c r="BC68" s="46" t="s">
        <v>1044</v>
      </c>
      <c r="BD68" s="66" t="s">
        <v>1045</v>
      </c>
    </row>
    <row r="69" spans="1:57" ht="30.6" customHeight="1">
      <c r="A69" s="75"/>
      <c r="B69" s="75"/>
      <c r="C69" s="75"/>
      <c r="D69" s="75"/>
      <c r="E69" s="76"/>
      <c r="F69" s="124"/>
      <c r="G69" s="75">
        <v>2020</v>
      </c>
      <c r="H69" s="75"/>
      <c r="I69" s="75"/>
      <c r="J69" s="67">
        <f>AK69-CCS!$M$51/100</f>
        <v>0.12300000000000001</v>
      </c>
      <c r="K69" s="125"/>
      <c r="L69" s="68">
        <f>AV69</f>
        <v>6.3143631436314358</v>
      </c>
      <c r="M69" s="66"/>
      <c r="N69" s="67"/>
      <c r="O69" s="69">
        <f>AL69+CCS!M$54/1000*7.45</f>
        <v>86.420000000000016</v>
      </c>
      <c r="P69" s="69">
        <f>MAX(O69*CCS!C$59/100,AM69)</f>
        <v>2.9055</v>
      </c>
      <c r="Q69" s="69">
        <f>AN69+CCS!$M$60/3.6*7.45</f>
        <v>56.909722222222229</v>
      </c>
      <c r="R69" s="68"/>
      <c r="S69" s="68"/>
      <c r="T69" s="68"/>
      <c r="U69" s="63"/>
      <c r="V69" s="69"/>
      <c r="W69" s="69"/>
      <c r="X69" s="69">
        <f t="shared" ref="X69:AA72" si="11">AW69</f>
        <v>60</v>
      </c>
      <c r="Y69" s="69">
        <f t="shared" si="11"/>
        <v>0.1</v>
      </c>
      <c r="Z69" s="69">
        <f t="shared" si="11"/>
        <v>1</v>
      </c>
      <c r="AA69" s="69">
        <f t="shared" si="11"/>
        <v>4.3</v>
      </c>
      <c r="AC69" s="82">
        <f>-1*PMT($AC$1,U65,O69*1000000)/R65*S65/1000000</f>
        <v>166.64504479975704</v>
      </c>
      <c r="AD69" s="82">
        <f>P69*1000000/R65*S65/1000000</f>
        <v>87.526160578386609</v>
      </c>
      <c r="AE69" s="91">
        <f>SUMIFS('DMS marginal prices'!$G$8:$G$70,'DMS marginal prices'!$F$8:$F$70,G69,'DMS marginal prices'!$D$8:$D$70,C65)/J69</f>
        <v>231.3523329264398</v>
      </c>
      <c r="AF69" s="91">
        <f>-1*(SUMIFS('DMS marginal prices'!$G$8:$G$70,'DMS marginal prices'!$F$8:$F$70,G69,'DMS marginal prices'!$D$8:$D$70,"SUPELC")*0.7+SUMIFS('DMS marginal prices'!$G$8:$G$70,'DMS marginal prices'!$F$8:$F$70,G69,'DMS marginal prices'!$D$8:$D$70,E66)*L69)</f>
        <v>-382.8460893752013</v>
      </c>
      <c r="AG69" s="82">
        <f>SUM(AC69:AF69)*1000/(SUM(K67:K68))</f>
        <v>1594.8656248739071</v>
      </c>
      <c r="AK69" s="66">
        <v>0.23300000000000001</v>
      </c>
      <c r="AL69" s="66">
        <v>78.225000000000009</v>
      </c>
      <c r="AM69" s="66">
        <v>2.9055</v>
      </c>
      <c r="AN69" s="66">
        <v>52.977777777777781</v>
      </c>
      <c r="AO69" s="67">
        <v>0.3</v>
      </c>
      <c r="AP69" s="68">
        <f>1/AO69</f>
        <v>3.3333333333333335</v>
      </c>
      <c r="AR69" s="67"/>
      <c r="AS69" s="66">
        <f>(AK69+AK69*AP69)/(1+AP69*AR69)</f>
        <v>1.0096666666666667</v>
      </c>
      <c r="AT69" s="46">
        <f>AS69-AK69+J69</f>
        <v>0.89966666666666673</v>
      </c>
      <c r="AV69" s="46">
        <f>($AT69-$J69)/($J69-($AT69)*$N69)</f>
        <v>6.3143631436314358</v>
      </c>
      <c r="AW69" s="66">
        <v>60</v>
      </c>
      <c r="AX69" s="66">
        <v>0.1</v>
      </c>
      <c r="AY69" s="66">
        <v>1</v>
      </c>
      <c r="AZ69" s="66">
        <v>4.3</v>
      </c>
      <c r="BC69" s="46">
        <f>-1*PMT($AC$1,U65,(O69-AL69)*1000000)/R65*S65/1000000</f>
        <v>15.802547351701108</v>
      </c>
      <c r="BD69" s="66">
        <f>(SUMIFS('DMS marginal prices'!$G$8:$G$70,'DMS marginal prices'!$F$8:$F$70,G69,'DMS marginal prices'!$D$8:$D$70,"SUPELC")*0.7)*(AK69-J69)</f>
        <v>5.8268875824066475</v>
      </c>
      <c r="BE69" s="66">
        <f>BD69*1000/SUM($K$74:$K$75)</f>
        <v>90.507728835145201</v>
      </c>
    </row>
    <row r="70" spans="1:57" ht="30.6" customHeight="1">
      <c r="A70" s="75"/>
      <c r="B70" s="75"/>
      <c r="C70" s="75"/>
      <c r="D70" s="75"/>
      <c r="E70" s="76"/>
      <c r="F70" s="123"/>
      <c r="G70" s="75">
        <v>2030</v>
      </c>
      <c r="H70" s="75"/>
      <c r="I70" s="75"/>
      <c r="J70" s="67">
        <f>AK70-CCS!$N$51/100</f>
        <v>0.13899999999999998</v>
      </c>
      <c r="K70" s="125"/>
      <c r="L70" s="68">
        <f>AV70</f>
        <v>5.7314148681055164</v>
      </c>
      <c r="M70" s="66"/>
      <c r="N70" s="67"/>
      <c r="O70" s="69">
        <f>AL70+CCS!N$54/1000*7.45</f>
        <v>78.597499999999997</v>
      </c>
      <c r="P70" s="69">
        <f>MAX(O70*CCS!C$59/100,AM70)</f>
        <v>2.6074999999999999</v>
      </c>
      <c r="Q70" s="69">
        <f>AN70+CCS!$N$60/3.6*7.45</f>
        <v>54.840277777777779</v>
      </c>
      <c r="R70" s="68"/>
      <c r="S70" s="68"/>
      <c r="T70" s="68"/>
      <c r="U70" s="63"/>
      <c r="V70" s="75"/>
      <c r="W70" s="75"/>
      <c r="X70" s="69">
        <f t="shared" si="11"/>
        <v>20</v>
      </c>
      <c r="Y70" s="69">
        <f t="shared" si="11"/>
        <v>0.1</v>
      </c>
      <c r="Z70" s="69">
        <f t="shared" si="11"/>
        <v>1</v>
      </c>
      <c r="AA70" s="69">
        <f t="shared" si="11"/>
        <v>4.3</v>
      </c>
      <c r="AB70" s="75"/>
      <c r="AC70" s="82">
        <f>-1*PMT($AC$1,U65,O70*1000000)/R65*S65/1000000</f>
        <v>151.5607950549514</v>
      </c>
      <c r="AD70" s="82">
        <f>P70*1000000/R65*S65/1000000</f>
        <v>78.549118467782861</v>
      </c>
      <c r="AE70" s="91">
        <f>SUMIFS('DMS marginal prices'!$G$8:$G$70,'DMS marginal prices'!$F$8:$F$70,G70,'DMS marginal prices'!$D$8:$D$70,C65)/J70</f>
        <v>3.8443788927739786</v>
      </c>
      <c r="AF70" s="91">
        <f>-1*(SUMIFS('DMS marginal prices'!$G$8:$G$70,'DMS marginal prices'!$F$8:$F$70,G70,'DMS marginal prices'!$D$8:$D$70,"SUPELC")*0.7+SUMIFS('DMS marginal prices'!$G$8:$G$70,'DMS marginal prices'!$F$8:$F$70,G70,'DMS marginal prices'!$D$8:$D$70,E66)*M70)</f>
        <v>-96.383017979453641</v>
      </c>
      <c r="AG70" s="82">
        <f>SUM(AC70:AF70)*1000/(SUM(K67:K68))</f>
        <v>2136.8635358194251</v>
      </c>
      <c r="AH70" s="75"/>
      <c r="AI70" s="75"/>
      <c r="AJ70" s="75"/>
      <c r="AK70" s="66">
        <v>0.23899999999999999</v>
      </c>
      <c r="AL70" s="66">
        <v>71.52</v>
      </c>
      <c r="AM70" s="66">
        <v>2.6074999999999999</v>
      </c>
      <c r="AN70" s="66">
        <v>50.908333333333331</v>
      </c>
      <c r="AO70" s="67">
        <v>0.3</v>
      </c>
      <c r="AP70" s="68">
        <f>1/AO70</f>
        <v>3.3333333333333335</v>
      </c>
      <c r="AR70" s="67"/>
      <c r="AS70" s="66">
        <f>(AK70+AK70*AP70)/(1+AP70*AR70)</f>
        <v>1.0356666666666667</v>
      </c>
      <c r="AT70" s="46">
        <f>AS70-AK70+J70</f>
        <v>0.93566666666666676</v>
      </c>
      <c r="AV70" s="46">
        <f>($AT70-$J70)/($J70-($AT70)*$N70)</f>
        <v>5.7314148681055164</v>
      </c>
      <c r="AW70" s="66">
        <v>20</v>
      </c>
      <c r="AX70" s="66">
        <v>0.1</v>
      </c>
      <c r="AY70" s="66">
        <v>1</v>
      </c>
      <c r="AZ70" s="66">
        <v>4.3</v>
      </c>
      <c r="BC70" s="82">
        <f>-1*PMT($AC$1,U65,(O70-AL70)*1000000)/R65*S65/1000000</f>
        <v>13.647654531014583</v>
      </c>
      <c r="BD70" s="66">
        <f>(SUMIFS('DMS marginal prices'!$G$8:$G$70,'DMS marginal prices'!$F$8:$F$70,G70,'DMS marginal prices'!$D$8:$D$70,"SUPELC")*0.7)*(AK70-J70)</f>
        <v>9.6383017979453651</v>
      </c>
      <c r="BE70" s="66">
        <f>BD70*1000/SUM($K$74:$K$75)</f>
        <v>149.70956505040954</v>
      </c>
    </row>
    <row r="71" spans="1:57" ht="30.6" customHeight="1">
      <c r="A71" s="75"/>
      <c r="B71" s="75"/>
      <c r="C71" s="75"/>
      <c r="D71" s="75"/>
      <c r="E71" s="76"/>
      <c r="F71" s="123"/>
      <c r="G71" s="75">
        <v>2050</v>
      </c>
      <c r="H71" s="75"/>
      <c r="I71" s="75"/>
      <c r="J71" s="67">
        <f>AK71-CCS!$P$51/100</f>
        <v>0.14799999999999999</v>
      </c>
      <c r="K71" s="125"/>
      <c r="L71" s="68">
        <f>AV71</f>
        <v>5.2364864864864877</v>
      </c>
      <c r="M71" s="66"/>
      <c r="N71" s="67"/>
      <c r="O71" s="69">
        <f>AL71+CCS!P$54/1000*7.45</f>
        <v>72.637500000000003</v>
      </c>
      <c r="P71" s="69">
        <f>MAX(O71*CCS!C$59/100,AM71)</f>
        <v>2.3094999999999999</v>
      </c>
      <c r="Q71" s="69">
        <f>AN71+CCS!$P$60/3.6*7.45</f>
        <v>54.219444444444441</v>
      </c>
      <c r="R71" s="75"/>
      <c r="S71" s="75"/>
      <c r="T71" s="75"/>
      <c r="U71" s="75"/>
      <c r="V71" s="75"/>
      <c r="W71" s="75"/>
      <c r="X71" s="69">
        <f t="shared" si="11"/>
        <v>10</v>
      </c>
      <c r="Y71" s="69">
        <f t="shared" si="11"/>
        <v>0</v>
      </c>
      <c r="Z71" s="69">
        <f t="shared" si="11"/>
        <v>0</v>
      </c>
      <c r="AA71" s="69">
        <f t="shared" si="11"/>
        <v>4.3</v>
      </c>
      <c r="AB71" s="75"/>
      <c r="AC71" s="82">
        <f>-1*PMT($AC$1,U65,O71*1000000)/R65*S65/1000000</f>
        <v>140.06803334462333</v>
      </c>
      <c r="AD71" s="82">
        <f>P71*1000000/R65*S65/1000000</f>
        <v>69.572076357179085</v>
      </c>
      <c r="AE71" s="91">
        <f>SUMIFS('DMS marginal prices'!$G$8:$G$70,'DMS marginal prices'!$F$8:$F$70,G71,'DMS marginal prices'!$D$8:$D$70,C65)/J71</f>
        <v>-48.118496936575539</v>
      </c>
      <c r="AF71" s="91">
        <f>-1*(SUMIFS('DMS marginal prices'!$G$8:$G$70,'DMS marginal prices'!$F$8:$F$70,G71,'DMS marginal prices'!$D$8:$D$70,"SUPELC")*0.7+SUMIFS('DMS marginal prices'!$G$8:$G$70,'DMS marginal prices'!$F$8:$F$70,G71,'DMS marginal prices'!$D$8:$D$70,E66)*M71)</f>
        <v>-73.422312303156488</v>
      </c>
      <c r="AG71" s="82">
        <f>SUM(AC71:AF71)*1000/(SUM(K67:K68))</f>
        <v>1368.4265371554895</v>
      </c>
      <c r="AH71" s="75"/>
      <c r="AI71" s="75"/>
      <c r="AJ71" s="75"/>
      <c r="AK71" s="66">
        <v>0.248</v>
      </c>
      <c r="AL71" s="66">
        <v>65.56</v>
      </c>
      <c r="AM71" s="66">
        <v>2.3094999999999999</v>
      </c>
      <c r="AN71" s="66">
        <v>50.287499999999994</v>
      </c>
      <c r="AO71" s="67">
        <v>0.32</v>
      </c>
      <c r="AP71" s="68">
        <f>1/AO71</f>
        <v>3.125</v>
      </c>
      <c r="AR71" s="67"/>
      <c r="AS71" s="66">
        <f>(AK71+AK71*AP71)/(1+AP71*AR71)</f>
        <v>1.0230000000000001</v>
      </c>
      <c r="AT71" s="46">
        <f>AS71-AK71+J71</f>
        <v>0.92300000000000015</v>
      </c>
      <c r="AV71" s="46">
        <f>($AT71-$J71)/($J71-($AT71)*$N71)</f>
        <v>5.2364864864864877</v>
      </c>
      <c r="AW71" s="66">
        <v>10</v>
      </c>
      <c r="AX71" s="66">
        <v>0</v>
      </c>
      <c r="AY71" s="66">
        <v>0</v>
      </c>
      <c r="AZ71" s="66">
        <v>4.3</v>
      </c>
      <c r="BC71" s="82">
        <f>-1*PMT($AC$1,U65,(O71-AL71)*1000000)/R65*S65/1000000</f>
        <v>13.647654531014583</v>
      </c>
      <c r="BD71" s="66">
        <f>(SUMIFS('DMS marginal prices'!$G$8:$G$70,'DMS marginal prices'!$F$8:$F$70,G71,'DMS marginal prices'!$D$8:$D$70,"SUPELC")*0.7)*(AK71-J71)</f>
        <v>7.3422312303156492</v>
      </c>
      <c r="BE71" s="66">
        <f>BD71*1000/SUM($K$74:$K$75)</f>
        <v>114.04521948300172</v>
      </c>
    </row>
    <row r="72" spans="1:57" ht="30.6" customHeight="1">
      <c r="A72" s="75" t="str">
        <f>"ECCCS"&amp;RIGHT(C72,3)&amp;"OXCN1"</f>
        <v>ECCCSWSTOXCN1</v>
      </c>
      <c r="B72" s="75" t="s">
        <v>309</v>
      </c>
      <c r="C72" s="66" t="s">
        <v>22</v>
      </c>
      <c r="D72" s="75"/>
      <c r="E72" s="76" t="s">
        <v>17</v>
      </c>
      <c r="F72" s="124"/>
      <c r="G72" s="75">
        <v>2013</v>
      </c>
      <c r="H72" s="74">
        <v>2025</v>
      </c>
      <c r="I72" s="75"/>
      <c r="J72" s="67">
        <f>AK72-CCS!$L$111/100</f>
        <v>0.14300000000000002</v>
      </c>
      <c r="K72" s="123"/>
      <c r="L72" s="68">
        <f>AV72</f>
        <v>5.4312354312354314</v>
      </c>
      <c r="M72" s="66"/>
      <c r="N72" s="67"/>
      <c r="O72" s="69">
        <f>AL72+CCS!L$114/1000*7.45</f>
        <v>90.14500000000001</v>
      </c>
      <c r="P72" s="69">
        <f>MAX(O72*CCS!C$59/100,AM72)</f>
        <v>2.98</v>
      </c>
      <c r="Q72" s="69">
        <f>AN72+CCS!$L$120/3.6*7.45</f>
        <v>51.736111111111114</v>
      </c>
      <c r="R72" s="68">
        <v>3.1536000000000002E-2</v>
      </c>
      <c r="S72" s="67">
        <v>0.95</v>
      </c>
      <c r="T72" s="68">
        <v>1</v>
      </c>
      <c r="U72" s="62">
        <v>25</v>
      </c>
      <c r="V72" s="69">
        <v>4</v>
      </c>
      <c r="W72" s="69"/>
      <c r="X72" s="69">
        <f t="shared" si="11"/>
        <v>90</v>
      </c>
      <c r="Y72" s="69">
        <f t="shared" si="11"/>
        <v>0.3</v>
      </c>
      <c r="Z72" s="69">
        <f t="shared" si="11"/>
        <v>1.2</v>
      </c>
      <c r="AA72" s="69">
        <f t="shared" si="11"/>
        <v>4.9000000000000004</v>
      </c>
      <c r="AB72" s="75"/>
      <c r="AC72" s="82">
        <f>-1*PMT($AC$1,U72,O72*1000000)/R72*S72/1000000</f>
        <v>173.82802086871203</v>
      </c>
      <c r="AD72" s="82">
        <f>P72*1000000/R72*S72/1000000</f>
        <v>89.770421106037531</v>
      </c>
      <c r="AE72" s="91">
        <f>SUMIFS('DMS marginal prices'!$G$8:$G$70,'DMS marginal prices'!$F$8:$F$70,G72,'DMS marginal prices'!$D$8:$D$70,C72)/J72</f>
        <v>0</v>
      </c>
      <c r="AF72" s="91">
        <f>SUMIFS('DMS marginal prices'!$G$8:$G$70,'DMS marginal prices'!$F$8:$F$70,G72,'DMS marginal prices'!$D$8:$D$70,"SUPELC")*0.7+SUMIFS('DMS marginal prices'!$G$8:$G$70,'DMS marginal prices'!$F$8:$F$70,G73,'DMS marginal prices'!$D$8:$D$70,E73)*M72</f>
        <v>0</v>
      </c>
      <c r="AG72" s="82">
        <f>SUM(AC72:AF74)*1000/SUM(K74:K75)</f>
        <v>4094.4150663987198</v>
      </c>
      <c r="AH72" s="75"/>
      <c r="AI72" s="75"/>
      <c r="AJ72" s="75"/>
      <c r="AK72" s="67">
        <v>0.23300000000000001</v>
      </c>
      <c r="AL72" s="69">
        <v>79.715000000000003</v>
      </c>
      <c r="AM72" s="69">
        <v>2.98</v>
      </c>
      <c r="AN72" s="69">
        <v>52.977777777777781</v>
      </c>
      <c r="AO72" s="67">
        <v>0.3</v>
      </c>
      <c r="AP72" s="68">
        <f>1/AO72</f>
        <v>3.3333333333333335</v>
      </c>
      <c r="AR72" s="67"/>
      <c r="AS72" s="66">
        <f>(AK72+AK72*AP72)/(1+AP72*AR72)</f>
        <v>1.0096666666666667</v>
      </c>
      <c r="AT72" s="46">
        <f>AS72-AK72+J72</f>
        <v>0.91966666666666674</v>
      </c>
      <c r="AV72" s="46">
        <f>($AT72-$J72)/($J72-($AT72)*$N72)</f>
        <v>5.4312354312354314</v>
      </c>
      <c r="AW72" s="66">
        <v>90</v>
      </c>
      <c r="AX72" s="66">
        <v>0.3</v>
      </c>
      <c r="AY72" s="66">
        <v>1.2</v>
      </c>
      <c r="AZ72" s="66">
        <v>4.9000000000000004</v>
      </c>
      <c r="BC72" s="82"/>
    </row>
    <row r="73" spans="1:57" ht="30.6" customHeight="1">
      <c r="A73" s="75"/>
      <c r="B73" s="75"/>
      <c r="C73" s="75"/>
      <c r="D73" s="75"/>
      <c r="E73" s="195" t="s">
        <v>601</v>
      </c>
      <c r="F73" s="124"/>
      <c r="G73" s="74">
        <v>2013</v>
      </c>
      <c r="H73" s="75"/>
      <c r="I73" s="75"/>
      <c r="K73" s="123"/>
      <c r="M73" s="66"/>
      <c r="R73" s="75"/>
      <c r="S73" s="75"/>
      <c r="T73" s="75"/>
      <c r="U73" s="75"/>
      <c r="V73" s="75"/>
      <c r="W73" s="75"/>
      <c r="X73" s="69"/>
      <c r="Y73" s="69"/>
      <c r="Z73" s="69"/>
      <c r="AA73" s="69"/>
      <c r="AB73" s="75"/>
      <c r="AC73" s="91"/>
      <c r="AD73" s="91"/>
      <c r="AF73" s="91"/>
      <c r="AG73" s="91"/>
      <c r="AH73" s="75"/>
      <c r="AI73" s="75"/>
      <c r="AJ73" s="75"/>
      <c r="AO73" s="67"/>
      <c r="AP73" s="68"/>
      <c r="AQ73" s="68"/>
      <c r="AR73" s="67"/>
      <c r="AS73" s="67"/>
    </row>
    <row r="74" spans="1:57" ht="30.6" customHeight="1">
      <c r="A74" s="75"/>
      <c r="B74" s="75"/>
      <c r="C74" s="75"/>
      <c r="D74" s="75"/>
      <c r="E74" s="76"/>
      <c r="F74" s="74" t="str">
        <f>ELC_CCS_Comm!$C$15</f>
        <v>CO2FOSE</v>
      </c>
      <c r="G74" s="74">
        <v>2013</v>
      </c>
      <c r="H74" s="75"/>
      <c r="I74" s="75"/>
      <c r="K74" s="125">
        <f>Emissions!$K$11*CCS!$C$52/100</f>
        <v>32.19</v>
      </c>
      <c r="M74" s="66"/>
      <c r="R74" s="75"/>
      <c r="S74" s="75"/>
      <c r="T74" s="75"/>
      <c r="U74" s="75"/>
      <c r="V74" s="75"/>
      <c r="W74" s="75"/>
      <c r="X74" s="69"/>
      <c r="Y74" s="69"/>
      <c r="Z74" s="69"/>
      <c r="AA74" s="69"/>
      <c r="AB74" s="75"/>
      <c r="AC74" s="82"/>
      <c r="AD74" s="82"/>
      <c r="AE74" s="91"/>
      <c r="AF74" s="91"/>
      <c r="AG74" s="82"/>
      <c r="AH74" s="75"/>
      <c r="AI74" s="75"/>
      <c r="AJ74" s="75"/>
      <c r="AO74" s="67"/>
      <c r="AP74" s="68"/>
      <c r="AQ74" s="68"/>
      <c r="AR74" s="67"/>
      <c r="AS74" s="67"/>
      <c r="AT74" s="80"/>
    </row>
    <row r="75" spans="1:57" ht="30.6" customHeight="1">
      <c r="A75" s="75"/>
      <c r="B75" s="75"/>
      <c r="C75" s="75"/>
      <c r="D75" s="75"/>
      <c r="E75" s="76"/>
      <c r="F75" s="74" t="str">
        <f>ELC_CCS_Comm!$C$14</f>
        <v>CO2BIOE</v>
      </c>
      <c r="G75" s="74">
        <v>2013</v>
      </c>
      <c r="H75" s="75"/>
      <c r="I75" s="75"/>
      <c r="K75" s="125">
        <f>Emissions!$K$11*CCS!$C$52/100</f>
        <v>32.19</v>
      </c>
      <c r="M75" s="66"/>
      <c r="R75" s="75"/>
      <c r="S75" s="75"/>
      <c r="T75" s="75"/>
      <c r="U75" s="75"/>
      <c r="V75" s="75"/>
      <c r="W75" s="75"/>
      <c r="X75" s="69"/>
      <c r="Y75" s="69"/>
      <c r="Z75" s="69"/>
      <c r="AA75" s="69"/>
      <c r="AB75" s="75"/>
      <c r="AC75" s="82"/>
      <c r="AD75" s="82"/>
      <c r="AE75" s="91"/>
      <c r="AF75" s="91"/>
      <c r="AG75" s="82"/>
      <c r="AH75" s="75"/>
      <c r="AI75" s="75"/>
      <c r="AJ75" s="75"/>
      <c r="AO75" s="67"/>
      <c r="AP75" s="68"/>
      <c r="AQ75" s="68"/>
      <c r="AR75" s="67"/>
      <c r="AS75" s="67"/>
      <c r="AT75" s="80"/>
    </row>
    <row r="76" spans="1:57" ht="30.6" customHeight="1">
      <c r="A76" s="75"/>
      <c r="B76" s="75"/>
      <c r="C76" s="75"/>
      <c r="D76" s="75"/>
      <c r="E76" s="76"/>
      <c r="F76" s="124"/>
      <c r="G76" s="75">
        <v>2020</v>
      </c>
      <c r="H76" s="75"/>
      <c r="I76" s="75"/>
      <c r="J76" s="67">
        <f>AK76-CCS!$M$111/100</f>
        <v>0.14300000000000002</v>
      </c>
      <c r="K76" s="125"/>
      <c r="L76" s="68">
        <f>AV76</f>
        <v>5.4312354312354314</v>
      </c>
      <c r="M76" s="66"/>
      <c r="N76" s="67"/>
      <c r="O76" s="69">
        <f>AL76+CCS!M$114/1000*7.45</f>
        <v>86.420000000000016</v>
      </c>
      <c r="P76" s="69">
        <f>MAX(O76*CCS!C$59/100,AM76)</f>
        <v>2.9055</v>
      </c>
      <c r="Q76" s="69">
        <f>AN76+CCS!$M$120/3.6*7.45</f>
        <v>51.736111111111114</v>
      </c>
      <c r="R76" s="75"/>
      <c r="S76" s="75"/>
      <c r="T76" s="75"/>
      <c r="U76" s="75"/>
      <c r="V76" s="75"/>
      <c r="W76" s="75"/>
      <c r="X76" s="69">
        <f t="shared" ref="X76:AA78" si="12">AW76</f>
        <v>60</v>
      </c>
      <c r="Y76" s="69">
        <f t="shared" si="12"/>
        <v>0.1</v>
      </c>
      <c r="Z76" s="69">
        <f t="shared" si="12"/>
        <v>1</v>
      </c>
      <c r="AA76" s="69">
        <f t="shared" si="12"/>
        <v>4.3</v>
      </c>
      <c r="AB76" s="75"/>
      <c r="AC76" s="82">
        <f>-1*PMT($AC$1,U72,O76*1000000)/R72*S72/1000000</f>
        <v>166.64504479975704</v>
      </c>
      <c r="AD76" s="82">
        <f>P76*1000000/R72*S72/1000000</f>
        <v>87.526160578386609</v>
      </c>
      <c r="AE76" s="91">
        <f>SUMIFS('DMS marginal prices'!$G$8:$G$70,'DMS marginal prices'!$F$8:$F$70,G76,'DMS marginal prices'!$D$8:$D$70,C72)/J76</f>
        <v>198.99536328637831</v>
      </c>
      <c r="AF76" s="91">
        <f>-1*(SUMIFS('DMS marginal prices'!$G$8:$G$70,'DMS marginal prices'!$F$8:$F$70,G76,'DMS marginal prices'!$D$8:$D$70,"SUPELC")*0.7+SUMIFS('DMS marginal prices'!$G$8:$G$70,'DMS marginal prices'!$F$8:$F$70,G76,'DMS marginal prices'!$D$8:$D$70,E73)*L76)</f>
        <v>-336.70981188141172</v>
      </c>
      <c r="AG76" s="82">
        <f>SUM(AC76:AF76)*1000/(SUM(K74:K75))</f>
        <v>1808.8965017569155</v>
      </c>
      <c r="AH76" s="75"/>
      <c r="AI76" s="75"/>
      <c r="AJ76" s="75"/>
      <c r="AK76" s="66">
        <v>0.23300000000000001</v>
      </c>
      <c r="AL76" s="66">
        <v>78.225000000000009</v>
      </c>
      <c r="AM76" s="66">
        <v>2.9055</v>
      </c>
      <c r="AN76" s="66">
        <v>52.977777777777781</v>
      </c>
      <c r="AO76" s="67">
        <v>0.3</v>
      </c>
      <c r="AP76" s="68">
        <f>1/AO76</f>
        <v>3.3333333333333335</v>
      </c>
      <c r="AR76" s="67"/>
      <c r="AS76" s="66">
        <f>(AK76+AK76*AP76)/(1+AP76*AR76)</f>
        <v>1.0096666666666667</v>
      </c>
      <c r="AT76" s="46">
        <f>AS76-AK76+J76</f>
        <v>0.91966666666666674</v>
      </c>
      <c r="AV76" s="46">
        <f>($AT76-$J76)/($J76-($AT76)*$N76)</f>
        <v>5.4312354312354314</v>
      </c>
      <c r="AW76" s="66">
        <v>60</v>
      </c>
      <c r="AX76" s="66">
        <v>0.1</v>
      </c>
      <c r="AY76" s="66">
        <v>1</v>
      </c>
      <c r="AZ76" s="66">
        <v>4.3</v>
      </c>
    </row>
    <row r="77" spans="1:57" ht="30.6" customHeight="1">
      <c r="A77" s="75"/>
      <c r="B77" s="75"/>
      <c r="C77" s="75"/>
      <c r="D77" s="75"/>
      <c r="E77" s="76"/>
      <c r="F77" s="123"/>
      <c r="G77" s="75">
        <v>2030</v>
      </c>
      <c r="H77" s="75"/>
      <c r="I77" s="75"/>
      <c r="J77" s="67">
        <f>AK77-CCS!$N$111/100</f>
        <v>0.14899999999999999</v>
      </c>
      <c r="K77" s="125"/>
      <c r="L77" s="68">
        <f>AV77</f>
        <v>5.3467561521252804</v>
      </c>
      <c r="M77" s="66"/>
      <c r="N77" s="67"/>
      <c r="O77" s="69">
        <f>AL77+CCS!N$114/1000*7.45</f>
        <v>78.597499999999997</v>
      </c>
      <c r="P77" s="69">
        <f>MAX(O77*CCS!C$59/100,AM77)</f>
        <v>2.6074999999999999</v>
      </c>
      <c r="Q77" s="69">
        <f>AN77+CCS!$N$120/3.6*7.45</f>
        <v>49.666666666666664</v>
      </c>
      <c r="R77" s="75"/>
      <c r="S77" s="75"/>
      <c r="T77" s="75"/>
      <c r="U77" s="75"/>
      <c r="V77" s="75"/>
      <c r="W77" s="75"/>
      <c r="X77" s="69">
        <f t="shared" si="12"/>
        <v>20</v>
      </c>
      <c r="Y77" s="69">
        <f t="shared" si="12"/>
        <v>0.1</v>
      </c>
      <c r="Z77" s="69">
        <f t="shared" si="12"/>
        <v>1</v>
      </c>
      <c r="AA77" s="69">
        <f t="shared" si="12"/>
        <v>4.3</v>
      </c>
      <c r="AB77" s="75"/>
      <c r="AC77" s="82">
        <f>-1*PMT($AC$1,U72,O77*1000000)/R72*S72/1000000</f>
        <v>151.5607950549514</v>
      </c>
      <c r="AD77" s="82">
        <f>P77*1000000/R72*S72/1000000</f>
        <v>78.549118467782861</v>
      </c>
      <c r="AE77" s="91">
        <f>SUMIFS('DMS marginal prices'!$G$8:$G$70,'DMS marginal prices'!$F$8:$F$70,G77,'DMS marginal prices'!$D$8:$D$70,C72)/J77</f>
        <v>3.5863668865475371</v>
      </c>
      <c r="AF77" s="91">
        <f>-1*(SUMIFS('DMS marginal prices'!$G$8:$G$70,'DMS marginal prices'!$F$8:$F$70,G77,'DMS marginal prices'!$D$8:$D$70,"SUPELC")*0.7+SUMIFS('DMS marginal prices'!$G$8:$G$70,'DMS marginal prices'!$F$8:$F$70,G77,'DMS marginal prices'!$D$8:$D$70,E73)*M77)</f>
        <v>-96.383017979453641</v>
      </c>
      <c r="AG77" s="82">
        <f>SUM(AC77:AF77)*1000/(SUM(K74:K75))</f>
        <v>2132.8558935978272</v>
      </c>
      <c r="AH77" s="75"/>
      <c r="AI77" s="75"/>
      <c r="AJ77" s="75"/>
      <c r="AK77" s="66">
        <v>0.23899999999999999</v>
      </c>
      <c r="AL77" s="66">
        <v>71.52</v>
      </c>
      <c r="AM77" s="66">
        <v>2.6074999999999999</v>
      </c>
      <c r="AN77" s="66">
        <v>50.908333333333331</v>
      </c>
      <c r="AO77" s="67">
        <v>0.3</v>
      </c>
      <c r="AP77" s="68">
        <f>1/AO77</f>
        <v>3.3333333333333335</v>
      </c>
      <c r="AR77" s="67"/>
      <c r="AS77" s="66">
        <f>(AK77+AK77*AP77)/(1+AP77*AR77)</f>
        <v>1.0356666666666667</v>
      </c>
      <c r="AT77" s="46">
        <f>AS77-AK77+J77</f>
        <v>0.94566666666666677</v>
      </c>
      <c r="AV77" s="46">
        <f>($AT77-$J77)/($J77-($AT77)*$N77)</f>
        <v>5.3467561521252804</v>
      </c>
      <c r="AW77" s="66">
        <v>20</v>
      </c>
      <c r="AX77" s="66">
        <v>0.1</v>
      </c>
      <c r="AY77" s="66">
        <v>1</v>
      </c>
      <c r="AZ77" s="66">
        <v>4.3</v>
      </c>
    </row>
    <row r="78" spans="1:57" ht="30.6" customHeight="1">
      <c r="A78" s="75"/>
      <c r="B78" s="75"/>
      <c r="C78" s="75"/>
      <c r="D78" s="75"/>
      <c r="E78" s="76"/>
      <c r="F78" s="123"/>
      <c r="G78" s="75">
        <v>2050</v>
      </c>
      <c r="H78" s="75"/>
      <c r="I78" s="75"/>
      <c r="J78" s="67">
        <f>AK78-CCS!$P$111/100</f>
        <v>0.158</v>
      </c>
      <c r="K78" s="125"/>
      <c r="L78" s="68">
        <f>AV78</f>
        <v>4.9050632911392409</v>
      </c>
      <c r="M78" s="66"/>
      <c r="N78" s="67"/>
      <c r="O78" s="69">
        <f>AL78+CCS!P$114/1000*7.45</f>
        <v>72.637500000000003</v>
      </c>
      <c r="P78" s="69">
        <f>MAX(O78*CCS!C$59/100,AM78)</f>
        <v>2.3094999999999999</v>
      </c>
      <c r="Q78" s="69">
        <f>AN78+CCS!$P$120/3.6*7.45</f>
        <v>49.045833333333327</v>
      </c>
      <c r="R78" s="75"/>
      <c r="S78" s="75"/>
      <c r="T78" s="75"/>
      <c r="U78" s="75"/>
      <c r="V78" s="75"/>
      <c r="W78" s="75"/>
      <c r="X78" s="69">
        <f t="shared" si="12"/>
        <v>10</v>
      </c>
      <c r="Y78" s="69">
        <f t="shared" si="12"/>
        <v>0</v>
      </c>
      <c r="Z78" s="69">
        <f t="shared" si="12"/>
        <v>0</v>
      </c>
      <c r="AA78" s="69">
        <f t="shared" si="12"/>
        <v>4.3</v>
      </c>
      <c r="AB78" s="75"/>
      <c r="AC78" s="82">
        <f>-1*PMT($AC$1,U72,O78*1000000)/R72*S72/1000000</f>
        <v>140.06803334462333</v>
      </c>
      <c r="AD78" s="82">
        <f>P78*1000000/R72*S72/1000000</f>
        <v>69.572076357179085</v>
      </c>
      <c r="AE78" s="91">
        <f>SUMIFS('DMS marginal prices'!$G$8:$G$70,'DMS marginal prices'!$F$8:$F$70,G78,'DMS marginal prices'!$D$8:$D$70,C72)/J78</f>
        <v>-45.073022446918856</v>
      </c>
      <c r="AF78" s="91">
        <f>-1*(SUMIFS('DMS marginal prices'!$G$8:$G$70,'DMS marginal prices'!$F$8:$F$70,G78,'DMS marginal prices'!$D$8:$D$70,"SUPELC")*0.7+SUMIFS('DMS marginal prices'!$G$8:$G$70,'DMS marginal prices'!$F$8:$F$70,G78,'DMS marginal prices'!$D$8:$D$70,E73)*M78)</f>
        <v>-73.422312303156488</v>
      </c>
      <c r="AG78" s="82">
        <f>SUM(AC78:AF78)*1000/(SUM(K74:K75))</f>
        <v>1415.7312045934621</v>
      </c>
      <c r="AH78" s="75"/>
      <c r="AI78" s="75"/>
      <c r="AJ78" s="75"/>
      <c r="AK78" s="66">
        <v>0.248</v>
      </c>
      <c r="AL78" s="66">
        <v>65.56</v>
      </c>
      <c r="AM78" s="66">
        <v>2.3094999999999999</v>
      </c>
      <c r="AN78" s="66">
        <v>50.287499999999994</v>
      </c>
      <c r="AO78" s="67">
        <v>0.32</v>
      </c>
      <c r="AP78" s="68">
        <f>1/AO78</f>
        <v>3.125</v>
      </c>
      <c r="AR78" s="67"/>
      <c r="AS78" s="66">
        <f>(AK78+AK78*AP78)/(1+AP78*AR78)</f>
        <v>1.0230000000000001</v>
      </c>
      <c r="AT78" s="46">
        <f>AS78-AK78+J78</f>
        <v>0.93300000000000016</v>
      </c>
      <c r="AV78" s="46">
        <f>($AT78-$J78)/($J78-($AT78)*$N78)</f>
        <v>4.9050632911392409</v>
      </c>
      <c r="AW78" s="66">
        <v>10</v>
      </c>
      <c r="AX78" s="66">
        <v>0</v>
      </c>
      <c r="AY78" s="66">
        <v>0</v>
      </c>
      <c r="AZ78" s="66">
        <v>4.3</v>
      </c>
    </row>
    <row r="79" spans="1:57" ht="30.6" customHeight="1">
      <c r="A79" s="75" t="str">
        <f>"EHCCS"&amp;RIGHT(C79,3)&amp;"POCN1"</f>
        <v>EHCCSWCHPOCN1</v>
      </c>
      <c r="B79" s="75" t="s">
        <v>202</v>
      </c>
      <c r="C79" s="75" t="s">
        <v>183</v>
      </c>
      <c r="D79" s="75"/>
      <c r="E79" s="195" t="s">
        <v>601</v>
      </c>
      <c r="F79" s="76"/>
      <c r="G79" s="75">
        <v>2013</v>
      </c>
      <c r="H79" s="74">
        <v>2025</v>
      </c>
      <c r="J79" s="75">
        <v>1.173</v>
      </c>
      <c r="K79" s="75"/>
      <c r="L79" s="75"/>
      <c r="M79" s="75"/>
      <c r="N79" s="75"/>
      <c r="O79" s="69">
        <f>AL79+CCS!L$54/1000*7.45</f>
        <v>18.625</v>
      </c>
      <c r="P79" s="69">
        <f>O79*CCS!C$59/100</f>
        <v>0.46562500000000001</v>
      </c>
      <c r="Q79" s="69">
        <f>AN79+CCS!$L$60/3.6*7.45</f>
        <v>6.2083333333333339</v>
      </c>
      <c r="R79" s="68">
        <v>3.1536000000000002E-2</v>
      </c>
      <c r="S79" s="68">
        <v>0.9</v>
      </c>
      <c r="T79" s="68">
        <v>1</v>
      </c>
      <c r="U79" s="75">
        <v>20</v>
      </c>
      <c r="V79" s="75">
        <v>1</v>
      </c>
      <c r="W79" s="75"/>
      <c r="X79" s="69">
        <f t="shared" ref="X79:AA79" si="13">AW79</f>
        <v>90</v>
      </c>
      <c r="Y79" s="69">
        <f t="shared" si="13"/>
        <v>16</v>
      </c>
      <c r="Z79" s="69">
        <f t="shared" si="13"/>
        <v>0.8</v>
      </c>
      <c r="AA79" s="69">
        <f t="shared" si="13"/>
        <v>1.9</v>
      </c>
      <c r="AB79" s="75"/>
      <c r="AC79" s="82">
        <f>-1*PMT($AC$1,U79,O79*1000000)/R79*S79/1000000</f>
        <v>39.111304220054606</v>
      </c>
      <c r="AD79" s="82">
        <f>P79*1000000/R79*S79/1000000</f>
        <v>13.288384703196346</v>
      </c>
      <c r="AE79" s="91">
        <f>SUMIFS('DMS marginal prices'!$G$8:$G$70,'DMS marginal prices'!$F$8:$F$70,G79,'DMS marginal prices'!$D$8:$D$70,C79)/J79+SUMIFS('DMS marginal prices'!$G$8:$G$70,'DMS marginal prices'!$F$8:$F$70,G80,'DMS marginal prices'!$D$8:$D$70,D80)*I80</f>
        <v>0</v>
      </c>
      <c r="AF79" s="91">
        <f>SUMIFS('DMS marginal prices'!$G$8:$G$70,'DMS marginal prices'!$F$8:$F$70,G79,'DMS marginal prices'!$D$8:$D$70,E79)*-1</f>
        <v>0</v>
      </c>
      <c r="AG79" s="82">
        <f>SUM(AC79:AF81)*1000/SUM(K81)</f>
        <v>746.82067394441651</v>
      </c>
      <c r="AH79" s="75"/>
      <c r="AI79" s="75"/>
      <c r="AJ79" s="75"/>
      <c r="AL79" s="75">
        <v>8.1950000000000003</v>
      </c>
      <c r="AM79" s="75">
        <v>0.25330000000000003</v>
      </c>
      <c r="AN79" s="75">
        <v>2.276388888888889</v>
      </c>
      <c r="AO79" s="75"/>
      <c r="AW79" s="66">
        <v>90</v>
      </c>
      <c r="AX79" s="66">
        <v>16</v>
      </c>
      <c r="AY79" s="66">
        <v>0.8</v>
      </c>
      <c r="AZ79" s="66">
        <v>1.9</v>
      </c>
    </row>
    <row r="80" spans="1:57" ht="30.6" customHeight="1">
      <c r="B80" s="66"/>
      <c r="C80" s="66"/>
      <c r="D80" s="75" t="s">
        <v>17</v>
      </c>
      <c r="E80" s="75"/>
      <c r="F80" s="76"/>
      <c r="G80" s="75">
        <v>2013</v>
      </c>
      <c r="I80" s="75">
        <f>CCS!S$52</f>
        <v>0.24444444444444444</v>
      </c>
      <c r="J80" s="75"/>
      <c r="K80" s="75"/>
      <c r="L80" s="75"/>
      <c r="M80" s="75"/>
      <c r="N80" s="75"/>
      <c r="R80" s="68"/>
      <c r="S80" s="68"/>
      <c r="T80" s="68"/>
      <c r="U80" s="75"/>
      <c r="V80" s="75"/>
      <c r="W80" s="75"/>
      <c r="X80" s="69"/>
      <c r="Y80" s="69"/>
      <c r="Z80" s="69"/>
      <c r="AA80" s="69"/>
      <c r="AB80" s="75"/>
      <c r="AC80" s="91"/>
      <c r="AD80" s="91"/>
      <c r="AE80" s="91"/>
      <c r="AF80" s="91"/>
      <c r="AG80" s="91"/>
      <c r="AH80" s="75"/>
      <c r="AI80" s="75"/>
      <c r="AJ80" s="75"/>
      <c r="AL80" s="75"/>
      <c r="AM80" s="75"/>
      <c r="AN80" s="75"/>
      <c r="AO80" s="75"/>
    </row>
    <row r="81" spans="1:52" ht="30.6" customHeight="1">
      <c r="A81" s="75"/>
      <c r="B81" s="66"/>
      <c r="C81" s="75"/>
      <c r="D81" s="66"/>
      <c r="E81" s="75"/>
      <c r="F81" s="74" t="str">
        <f>ELC_CCS_Comm!$C$14</f>
        <v>CO2BIOE</v>
      </c>
      <c r="G81" s="74">
        <v>2013</v>
      </c>
      <c r="H81" s="75"/>
      <c r="I81" s="66"/>
      <c r="J81" s="75"/>
      <c r="K81" s="74">
        <f>Emissions!C11*CCS!$C$52/100/J79</f>
        <v>70.163682864450124</v>
      </c>
      <c r="L81" s="75"/>
      <c r="M81" s="75"/>
      <c r="N81" s="75"/>
      <c r="R81" s="75"/>
      <c r="S81" s="75"/>
      <c r="T81" s="75"/>
      <c r="U81" s="75"/>
      <c r="V81" s="75"/>
      <c r="W81" s="75"/>
      <c r="X81" s="69"/>
      <c r="Y81" s="69"/>
      <c r="Z81" s="69"/>
      <c r="AA81" s="69"/>
      <c r="AB81" s="75"/>
      <c r="AC81" s="82"/>
      <c r="AD81" s="82"/>
      <c r="AE81" s="91"/>
      <c r="AF81" s="91"/>
      <c r="AG81" s="82"/>
      <c r="AH81" s="75"/>
      <c r="AI81" s="75"/>
      <c r="AJ81" s="75"/>
      <c r="AL81" s="75"/>
      <c r="AM81" s="75"/>
      <c r="AN81" s="75"/>
      <c r="AO81" s="75"/>
    </row>
    <row r="82" spans="1:52" ht="30.6" customHeight="1">
      <c r="A82" s="75"/>
      <c r="B82" s="75"/>
      <c r="C82" s="75"/>
      <c r="D82" s="75"/>
      <c r="E82" s="75"/>
      <c r="F82" s="76"/>
      <c r="G82" s="75">
        <v>2020</v>
      </c>
      <c r="H82" s="75"/>
      <c r="I82" s="75"/>
      <c r="J82" s="75">
        <v>1.173</v>
      </c>
      <c r="K82" s="66"/>
      <c r="L82" s="75"/>
      <c r="M82" s="75"/>
      <c r="N82" s="75"/>
      <c r="O82" s="69">
        <f>AL82+CCS!M$54/1000*7.45</f>
        <v>15.645</v>
      </c>
      <c r="P82" s="69">
        <f>O82*CCS!D$59/100</f>
        <v>0.39112499999999994</v>
      </c>
      <c r="Q82" s="69">
        <f>AN82+CCS!$M$60/3.6*7.45</f>
        <v>6.2083333333333339</v>
      </c>
      <c r="R82" s="75"/>
      <c r="S82" s="75"/>
      <c r="T82" s="75"/>
      <c r="U82" s="75"/>
      <c r="V82" s="75"/>
      <c r="W82" s="75"/>
      <c r="X82" s="69">
        <f>AW82</f>
        <v>60</v>
      </c>
      <c r="Y82" s="69">
        <f>AX82</f>
        <v>11</v>
      </c>
      <c r="Z82" s="69">
        <f>AY82</f>
        <v>0.3</v>
      </c>
      <c r="AA82" s="69">
        <f>AZ82</f>
        <v>1.9</v>
      </c>
      <c r="AB82" s="75"/>
      <c r="AC82" s="82">
        <f>-1*PMT($AC$1,U79,O82*1000000)/R79*S79/1000000</f>
        <v>32.853495544845856</v>
      </c>
      <c r="AD82" s="82">
        <f>P82*1000000/R79*S79/1000000</f>
        <v>11.16224315068493</v>
      </c>
      <c r="AE82" s="91">
        <f>SUMIFS('DMS marginal prices'!$G$8:$G$70,'DMS marginal prices'!$F$8:$F$70,G82,'DMS marginal prices'!$D$8:$D$70,C79)/J82+SUMIFS('DMS marginal prices'!$G$8:$G$70,'DMS marginal prices'!$F$8:$F$70,G83,'DMS marginal prices'!$D$8:$D$70,"SUPELC"*0.7)*I83</f>
        <v>54.756111928006909</v>
      </c>
      <c r="AF82" s="91">
        <f>-1*(SUMIFS('DMS marginal prices'!$G$8:$G$70,'DMS marginal prices'!$F$8:$F$70,G82,'DMS marginal prices'!$D$8:$D$70,E79))</f>
        <v>-52.241908895167256</v>
      </c>
      <c r="AG82" s="82">
        <f>SUM(AC82:AF83)*1000/SUM(K81)</f>
        <v>663.16276211244588</v>
      </c>
      <c r="AH82" s="75"/>
      <c r="AI82" s="75"/>
      <c r="AJ82" s="75"/>
      <c r="AL82" s="75">
        <v>7.45</v>
      </c>
      <c r="AM82" s="75">
        <v>0.24585000000000001</v>
      </c>
      <c r="AN82" s="75">
        <v>2.276388888888889</v>
      </c>
      <c r="AO82" s="75"/>
      <c r="AW82" s="66">
        <v>60</v>
      </c>
      <c r="AX82" s="66">
        <v>11</v>
      </c>
      <c r="AY82" s="66">
        <v>0.3</v>
      </c>
      <c r="AZ82" s="66">
        <v>1.9</v>
      </c>
    </row>
    <row r="83" spans="1:52" ht="30.6" customHeight="1">
      <c r="A83" s="75"/>
      <c r="B83" s="75"/>
      <c r="C83" s="75"/>
      <c r="D83" s="75" t="s">
        <v>17</v>
      </c>
      <c r="E83" s="75"/>
      <c r="F83" s="76"/>
      <c r="G83" s="75">
        <v>2020</v>
      </c>
      <c r="H83" s="75"/>
      <c r="I83" s="75">
        <f>CCS!T$52</f>
        <v>0.2391304347826087</v>
      </c>
      <c r="J83" s="75"/>
      <c r="K83" s="66"/>
      <c r="L83" s="75"/>
      <c r="M83" s="75"/>
      <c r="N83" s="75"/>
      <c r="O83" s="69"/>
      <c r="P83" s="69"/>
      <c r="Q83" s="69"/>
      <c r="R83" s="75"/>
      <c r="S83" s="75"/>
      <c r="T83" s="75"/>
      <c r="U83" s="75"/>
      <c r="V83" s="75"/>
      <c r="W83" s="75"/>
      <c r="AB83" s="75"/>
      <c r="AC83" s="91"/>
      <c r="AD83" s="91"/>
      <c r="AE83" s="91"/>
      <c r="AF83" s="91"/>
      <c r="AG83" s="91"/>
      <c r="AH83" s="75"/>
      <c r="AI83" s="75"/>
      <c r="AJ83" s="75"/>
      <c r="AL83" s="75"/>
      <c r="AM83" s="75"/>
      <c r="AN83" s="75"/>
      <c r="AO83" s="75"/>
    </row>
    <row r="84" spans="1:52" ht="30.6" customHeight="1">
      <c r="A84" s="75"/>
      <c r="B84" s="75"/>
      <c r="C84" s="75"/>
      <c r="D84" s="75"/>
      <c r="E84" s="75"/>
      <c r="F84" s="75"/>
      <c r="G84" s="75">
        <v>2030</v>
      </c>
      <c r="H84" s="75"/>
      <c r="I84" s="75"/>
      <c r="J84" s="75">
        <v>1.173</v>
      </c>
      <c r="K84" s="66"/>
      <c r="L84" s="75"/>
      <c r="M84" s="75"/>
      <c r="N84" s="75"/>
      <c r="O84" s="69">
        <f>AL84+CCS!N$54/1000*7.45</f>
        <v>14.5275</v>
      </c>
      <c r="P84" s="69">
        <f>O84*CCS!E$59/100</f>
        <v>0.3631875</v>
      </c>
      <c r="Q84" s="69">
        <f>AN84+CCS!$N$60/3.6*7.45</f>
        <v>6.2083333333333339</v>
      </c>
      <c r="R84" s="75"/>
      <c r="S84" s="75"/>
      <c r="T84" s="75"/>
      <c r="U84" s="75"/>
      <c r="V84" s="75"/>
      <c r="W84" s="75"/>
      <c r="X84" s="69">
        <f>AW84</f>
        <v>50</v>
      </c>
      <c r="Y84" s="69">
        <f>AX84</f>
        <v>8</v>
      </c>
      <c r="Z84" s="69">
        <f>AY84</f>
        <v>0.3</v>
      </c>
      <c r="AA84" s="69">
        <f>AZ84</f>
        <v>1.9</v>
      </c>
      <c r="AB84" s="75"/>
      <c r="AC84" s="82">
        <f>-1*PMT($AC$1,U79,O84*1000000)/R79*S79/1000000</f>
        <v>30.506817291642584</v>
      </c>
      <c r="AD84" s="82">
        <f>P84*1000000/R79*S79/1000000</f>
        <v>10.364940068493151</v>
      </c>
      <c r="AE84" s="91">
        <f>SUMIFS('DMS marginal prices'!$G$8:$G$70,'DMS marginal prices'!$F$8:$F$70,G84,'DMS marginal prices'!$D$8:$D$70,C79)/J84+SUMIFS('DMS marginal prices'!$G$8:$G$70,'DMS marginal prices'!$F$8:$F$70,G85,'DMS marginal prices'!$D$8:$D$70,"SUPELC"*0.7)*I85</f>
        <v>83.621623865024802</v>
      </c>
      <c r="AF84" s="91">
        <f>SUMIFS('DMS marginal prices'!$G$8:$G$70,'DMS marginal prices'!$F$8:$F$70,G84,'DMS marginal prices'!$D$8:$D$70,E79)*-1</f>
        <v>-43.622207164455787</v>
      </c>
      <c r="AG84" s="82">
        <f>SUM(AC84:AF85)*1000/SUM(K81)</f>
        <v>1152.6073141990069</v>
      </c>
      <c r="AH84" s="75"/>
      <c r="AI84" s="75"/>
      <c r="AJ84" s="75"/>
      <c r="AL84" s="75">
        <v>7.45</v>
      </c>
      <c r="AM84" s="75">
        <v>0.2384</v>
      </c>
      <c r="AN84" s="75">
        <v>2.276388888888889</v>
      </c>
      <c r="AO84" s="75"/>
      <c r="AW84" s="66">
        <v>50</v>
      </c>
      <c r="AX84" s="66">
        <v>8</v>
      </c>
      <c r="AY84" s="66">
        <v>0.3</v>
      </c>
      <c r="AZ84" s="66">
        <v>1.9</v>
      </c>
    </row>
    <row r="85" spans="1:52" ht="30.6" customHeight="1">
      <c r="A85" s="75"/>
      <c r="B85" s="75"/>
      <c r="C85" s="75"/>
      <c r="D85" s="75" t="s">
        <v>17</v>
      </c>
      <c r="E85" s="75"/>
      <c r="F85" s="75"/>
      <c r="G85" s="75">
        <v>2030</v>
      </c>
      <c r="H85" s="75"/>
      <c r="I85" s="75">
        <f>CCS!V$52</f>
        <v>0.20833333333333334</v>
      </c>
      <c r="J85" s="75"/>
      <c r="K85" s="66"/>
      <c r="L85" s="75"/>
      <c r="M85" s="75"/>
      <c r="N85" s="75"/>
      <c r="O85" s="69"/>
      <c r="P85" s="69"/>
      <c r="Q85" s="69"/>
      <c r="R85" s="75"/>
      <c r="S85" s="75"/>
      <c r="T85" s="75"/>
      <c r="U85" s="75"/>
      <c r="V85" s="75"/>
      <c r="W85" s="75"/>
      <c r="AB85" s="75"/>
      <c r="AC85" s="91"/>
      <c r="AD85" s="91"/>
      <c r="AE85" s="91"/>
      <c r="AF85" s="91"/>
      <c r="AG85" s="91"/>
      <c r="AH85" s="75"/>
      <c r="AI85" s="75"/>
      <c r="AJ85" s="75"/>
      <c r="AL85" s="75"/>
      <c r="AM85" s="75"/>
      <c r="AN85" s="75"/>
      <c r="AO85" s="75"/>
    </row>
    <row r="86" spans="1:52" ht="30.6" customHeight="1">
      <c r="A86" s="75"/>
      <c r="B86" s="75"/>
      <c r="C86" s="75"/>
      <c r="D86" s="75"/>
      <c r="E86" s="75"/>
      <c r="F86" s="75"/>
      <c r="G86" s="75">
        <v>2050</v>
      </c>
      <c r="H86" s="75"/>
      <c r="I86" s="75"/>
      <c r="J86" s="75">
        <v>1.173</v>
      </c>
      <c r="K86" s="66"/>
      <c r="L86" s="75"/>
      <c r="M86" s="75"/>
      <c r="N86" s="75"/>
      <c r="O86" s="69">
        <f>AL86+CCS!P$54/1000*7.45</f>
        <v>13.782499999999999</v>
      </c>
      <c r="P86" s="69">
        <f>O86*CCS!G$59/100</f>
        <v>0.34456249999999999</v>
      </c>
      <c r="Q86" s="69">
        <f>AN86+CCS!$P$60/3.6*7.45</f>
        <v>6.2083333333333339</v>
      </c>
      <c r="R86" s="75"/>
      <c r="S86" s="75"/>
      <c r="T86" s="75"/>
      <c r="U86" s="75"/>
      <c r="V86" s="75"/>
      <c r="W86" s="75"/>
      <c r="X86" s="69">
        <f>AW86</f>
        <v>40</v>
      </c>
      <c r="Y86" s="69">
        <f>AX86</f>
        <v>4</v>
      </c>
      <c r="Z86" s="69">
        <f>AY86</f>
        <v>0.3</v>
      </c>
      <c r="AA86" s="69">
        <f>AZ86</f>
        <v>1.9</v>
      </c>
      <c r="AB86" s="75"/>
      <c r="AC86" s="82">
        <f>-1*PMT($AC$1,U79,O86*1000000)/R79*S79/1000000</f>
        <v>28.942365122840396</v>
      </c>
      <c r="AD86" s="82">
        <f>P86*1000000/R79*S79/1000000</f>
        <v>9.8334046803652964</v>
      </c>
      <c r="AE86" s="91">
        <f>SUMIFS('DMS marginal prices'!$G$8:$G$70,'DMS marginal prices'!$F$8:$F$70,G86,'DMS marginal prices'!$D$8:$D$70,C79)/J86+SUMIFS('DMS marginal prices'!$G$8:$G$70,'DMS marginal prices'!$F$8:$F$70,G87,'DMS marginal prices'!$D$8:$D$70,"SUPELC"*0.7)*I87</f>
        <v>85.56766909781706</v>
      </c>
      <c r="AF86" s="91">
        <f>SUMIFS('DMS marginal prices'!$G$8:$G$70,'DMS marginal prices'!$F$8:$F$70,G86,'DMS marginal prices'!$D$8:$D$70,E79)*-1</f>
        <v>-31.66441373599169</v>
      </c>
      <c r="AG86" s="82">
        <f>SUM(AC86:AF87)*1000/SUM(K81)</f>
        <v>1320.8973842504611</v>
      </c>
      <c r="AH86" s="75"/>
      <c r="AI86" s="75"/>
      <c r="AJ86" s="75"/>
      <c r="AL86" s="75">
        <v>6.7050000000000001</v>
      </c>
      <c r="AM86" s="75">
        <v>0.2235</v>
      </c>
      <c r="AN86" s="75">
        <v>2.276388888888889</v>
      </c>
      <c r="AO86" s="75"/>
      <c r="AW86" s="66">
        <v>40</v>
      </c>
      <c r="AX86" s="66">
        <v>4</v>
      </c>
      <c r="AY86" s="66">
        <v>0.3</v>
      </c>
      <c r="AZ86" s="66">
        <v>1.9</v>
      </c>
    </row>
    <row r="87" spans="1:52" ht="30.6" customHeight="1">
      <c r="A87" s="75"/>
      <c r="B87" s="75"/>
      <c r="C87" s="75"/>
      <c r="D87" s="75" t="s">
        <v>17</v>
      </c>
      <c r="E87" s="75"/>
      <c r="F87" s="75"/>
      <c r="G87" s="75">
        <v>2050</v>
      </c>
      <c r="H87" s="75"/>
      <c r="I87" s="75">
        <f>CCS!W$52</f>
        <v>0.20833333333333334</v>
      </c>
      <c r="J87" s="75"/>
      <c r="K87" s="66"/>
      <c r="L87" s="75"/>
      <c r="M87" s="75"/>
      <c r="N87" s="75"/>
      <c r="O87" s="69"/>
      <c r="P87" s="69"/>
      <c r="Q87" s="69"/>
      <c r="R87" s="75"/>
      <c r="S87" s="75"/>
      <c r="T87" s="75"/>
      <c r="U87" s="75"/>
      <c r="V87" s="75"/>
      <c r="W87" s="75"/>
      <c r="X87" s="75"/>
      <c r="Y87" s="75"/>
      <c r="Z87" s="75"/>
      <c r="AA87" s="75"/>
      <c r="AB87" s="75"/>
      <c r="AC87" s="91"/>
      <c r="AD87" s="91"/>
      <c r="AE87" s="91"/>
      <c r="AF87" s="91"/>
      <c r="AG87" s="91"/>
      <c r="AH87" s="75"/>
      <c r="AI87" s="75"/>
      <c r="AJ87" s="75"/>
      <c r="AL87" s="75"/>
      <c r="AM87" s="75"/>
      <c r="AN87" s="75"/>
      <c r="AO87" s="75"/>
    </row>
    <row r="88" spans="1:52" ht="30.6" customHeight="1">
      <c r="A88" s="75" t="str">
        <f>"EHCCS"&amp;RIGHT(C88,3)&amp;"POCN1"</f>
        <v>EHCCSSTRPOCN1</v>
      </c>
      <c r="B88" s="75" t="s">
        <v>203</v>
      </c>
      <c r="C88" s="75" t="s">
        <v>23</v>
      </c>
      <c r="D88" s="75"/>
      <c r="E88" s="195" t="s">
        <v>601</v>
      </c>
      <c r="F88" s="76"/>
      <c r="G88" s="75">
        <v>2013</v>
      </c>
      <c r="H88" s="74">
        <v>2025</v>
      </c>
      <c r="I88" s="66"/>
      <c r="J88" s="75">
        <v>1.044</v>
      </c>
      <c r="K88" s="75"/>
      <c r="L88" s="75"/>
      <c r="M88" s="75"/>
      <c r="N88" s="75"/>
      <c r="O88" s="69">
        <f>AL88+CCS!L$54/1000*7.45</f>
        <v>15.645</v>
      </c>
      <c r="P88" s="69">
        <f>O88*CCS!C$59/100</f>
        <v>0.39112499999999994</v>
      </c>
      <c r="Q88" s="69">
        <f>AN88+CCS!$L$60/3.6*7.45</f>
        <v>6.0013888888888891</v>
      </c>
      <c r="R88" s="68">
        <v>3.1536000000000002E-2</v>
      </c>
      <c r="S88" s="68">
        <v>0.9</v>
      </c>
      <c r="T88" s="68">
        <v>1</v>
      </c>
      <c r="U88" s="75">
        <v>25</v>
      </c>
      <c r="V88" s="75">
        <v>1</v>
      </c>
      <c r="W88" s="75"/>
      <c r="X88" s="69">
        <f>AW88</f>
        <v>90</v>
      </c>
      <c r="Y88" s="69">
        <f>AX88</f>
        <v>16</v>
      </c>
      <c r="Z88" s="69">
        <f>AY88</f>
        <v>4</v>
      </c>
      <c r="AA88" s="69">
        <f>AZ88</f>
        <v>49</v>
      </c>
      <c r="AB88" s="75"/>
      <c r="AC88" s="82">
        <f>-1*PMT($AC$1,U88,O88*1000000)/R88*S88/1000000</f>
        <v>28.580683727000064</v>
      </c>
      <c r="AD88" s="82">
        <f>P88*1000000/R88*S88/1000000</f>
        <v>11.16224315068493</v>
      </c>
      <c r="AE88" s="91">
        <f>SUMIFS('DMS marginal prices'!$G$8:$G$70,'DMS marginal prices'!$F$8:$F$70,G88,'DMS marginal prices'!$D$8:$D$70,C88)/J88+SUMIFS('DMS marginal prices'!$G$8:$G$70,'DMS marginal prices'!$F$8:$F$70,G89,'DMS marginal prices'!$D$8:$D$70,D89)*I89</f>
        <v>0</v>
      </c>
      <c r="AF88" s="91">
        <f>SUMIFS('DMS marginal prices'!$G$8:$G$70,'DMS marginal prices'!$F$8:$F$70,G88,'DMS marginal prices'!$D$8:$D$70,E88)*-1</f>
        <v>0</v>
      </c>
      <c r="AG88" s="82">
        <f>SUM(AC88:AF90)*1000/SUM(K90)</f>
        <v>504.13860732792807</v>
      </c>
      <c r="AH88" s="75"/>
      <c r="AI88" s="75"/>
      <c r="AJ88" s="75"/>
      <c r="AL88" s="75">
        <v>5.2149999999999999</v>
      </c>
      <c r="AM88" s="75">
        <v>0.29799999999999999</v>
      </c>
      <c r="AN88" s="75">
        <v>2.0694444444444446</v>
      </c>
      <c r="AO88" s="75"/>
      <c r="AW88" s="66">
        <v>90</v>
      </c>
      <c r="AX88" s="66">
        <v>16</v>
      </c>
      <c r="AY88" s="66">
        <v>4</v>
      </c>
      <c r="AZ88" s="66">
        <v>49</v>
      </c>
    </row>
    <row r="89" spans="1:52" ht="30.6" customHeight="1">
      <c r="A89" s="66"/>
      <c r="B89" s="66"/>
      <c r="C89" s="66"/>
      <c r="D89" s="75" t="s">
        <v>17</v>
      </c>
      <c r="E89" s="66"/>
      <c r="F89" s="76"/>
      <c r="G89" s="75">
        <v>2013</v>
      </c>
      <c r="I89" s="75">
        <f>CCS!S$52</f>
        <v>0.24444444444444444</v>
      </c>
      <c r="J89" s="75"/>
      <c r="K89" s="75"/>
      <c r="L89" s="75"/>
      <c r="M89" s="75"/>
      <c r="N89" s="75"/>
      <c r="R89" s="68"/>
      <c r="S89" s="68"/>
      <c r="T89" s="68"/>
      <c r="U89" s="75"/>
      <c r="V89" s="75"/>
      <c r="W89" s="75"/>
      <c r="X89" s="69"/>
      <c r="Y89" s="69"/>
      <c r="Z89" s="69"/>
      <c r="AA89" s="69"/>
      <c r="AB89" s="75"/>
      <c r="AC89" s="91"/>
      <c r="AD89" s="91"/>
      <c r="AE89" s="91"/>
      <c r="AF89" s="91"/>
      <c r="AG89" s="91"/>
      <c r="AH89" s="75"/>
      <c r="AI89" s="75"/>
      <c r="AJ89" s="75"/>
      <c r="AL89" s="75"/>
      <c r="AM89" s="75"/>
      <c r="AN89" s="75"/>
      <c r="AO89" s="75"/>
    </row>
    <row r="90" spans="1:52" ht="30.6" customHeight="1">
      <c r="A90" s="66"/>
      <c r="B90" s="66"/>
      <c r="C90" s="66"/>
      <c r="D90" s="75"/>
      <c r="E90" s="66"/>
      <c r="F90" s="74" t="str">
        <f>ELC_CCS_Comm!$C$14</f>
        <v>CO2BIOE</v>
      </c>
      <c r="G90" s="74">
        <v>2013</v>
      </c>
      <c r="H90" s="75"/>
      <c r="I90" s="66"/>
      <c r="J90" s="75"/>
      <c r="K90" s="74">
        <f>Emissions!C11*CCS!$C$52/100/J88</f>
        <v>78.833333333333329</v>
      </c>
      <c r="L90" s="75"/>
      <c r="M90" s="75"/>
      <c r="N90" s="75"/>
      <c r="R90" s="75"/>
      <c r="S90" s="75"/>
      <c r="T90" s="75"/>
      <c r="U90" s="75"/>
      <c r="V90" s="75"/>
      <c r="W90" s="75"/>
      <c r="X90" s="69"/>
      <c r="Y90" s="69"/>
      <c r="Z90" s="69"/>
      <c r="AA90" s="69"/>
      <c r="AB90" s="75"/>
      <c r="AC90" s="82"/>
      <c r="AD90" s="82"/>
      <c r="AE90" s="91"/>
      <c r="AF90" s="91"/>
      <c r="AG90" s="82"/>
      <c r="AH90" s="75"/>
      <c r="AI90" s="75"/>
      <c r="AJ90" s="75"/>
      <c r="AL90" s="75"/>
      <c r="AM90" s="75"/>
      <c r="AN90" s="75"/>
      <c r="AO90" s="75"/>
    </row>
    <row r="91" spans="1:52" ht="30.6" customHeight="1">
      <c r="A91" s="66"/>
      <c r="B91" s="66"/>
      <c r="C91" s="66"/>
      <c r="E91" s="66"/>
      <c r="F91" s="76"/>
      <c r="G91" s="75">
        <v>2020</v>
      </c>
      <c r="H91" s="75"/>
      <c r="I91" s="75"/>
      <c r="J91" s="75">
        <v>1.08</v>
      </c>
      <c r="K91" s="66"/>
      <c r="L91" s="75"/>
      <c r="M91" s="75"/>
      <c r="N91" s="75"/>
      <c r="O91" s="69">
        <f>AL91+CCS!M$54/1000*7.45</f>
        <v>13.41</v>
      </c>
      <c r="P91" s="69">
        <f>O91*CCS!D$59/100</f>
        <v>0.33524999999999999</v>
      </c>
      <c r="Q91" s="69">
        <f>AN91+CCS!$M$60/3.6*7.45</f>
        <v>6.0013888888888891</v>
      </c>
      <c r="R91" s="75"/>
      <c r="S91" s="75"/>
      <c r="T91" s="75"/>
      <c r="U91" s="75"/>
      <c r="V91" s="75"/>
      <c r="W91" s="75"/>
      <c r="X91" s="69">
        <f>AW91</f>
        <v>70</v>
      </c>
      <c r="Y91" s="69">
        <f>AX91</f>
        <v>11</v>
      </c>
      <c r="Z91" s="69">
        <f>AY91</f>
        <v>3</v>
      </c>
      <c r="AA91" s="69">
        <f>AZ91</f>
        <v>49</v>
      </c>
      <c r="AB91" s="75"/>
      <c r="AC91" s="82">
        <f>-1*PMT($AC$1,U88,O91*1000000)/R88*S88/1000000</f>
        <v>24.497728908857201</v>
      </c>
      <c r="AD91" s="82">
        <f>P91*1000000/R88*S88/1000000</f>
        <v>9.5676369863013679</v>
      </c>
      <c r="AE91" s="91">
        <f>SUMIFS('DMS marginal prices'!$G$8:$G$70,'DMS marginal prices'!$F$8:$F$70,G91,'DMS marginal prices'!$D$8:$D$70,C88)/J91+SUMIFS('DMS marginal prices'!$G$8:$G$70,'DMS marginal prices'!$F$8:$F$70,G92,'DMS marginal prices'!$D$8:$D$70,"SUPELC"*0.7)*I92</f>
        <v>72.57618076998925</v>
      </c>
      <c r="AF91" s="91">
        <f>-1*(SUMIFS('DMS marginal prices'!$G$8:$G$70,'DMS marginal prices'!$F$8:$F$70,G91,'DMS marginal prices'!$D$8:$D$70,E88))</f>
        <v>-52.241908895167256</v>
      </c>
      <c r="AG91" s="82">
        <f>SUM(AC91:AF92)*1000/SUM(K90)</f>
        <v>690.05883006317833</v>
      </c>
      <c r="AH91" s="75"/>
      <c r="AI91" s="75"/>
      <c r="AJ91" s="75"/>
      <c r="AL91" s="75">
        <v>5.2149999999999999</v>
      </c>
      <c r="AM91" s="75">
        <v>0.29054999999999997</v>
      </c>
      <c r="AN91" s="75">
        <v>2.0694444444444446</v>
      </c>
      <c r="AO91" s="75"/>
      <c r="AW91" s="66">
        <v>70</v>
      </c>
      <c r="AX91" s="66">
        <v>11</v>
      </c>
      <c r="AY91" s="66">
        <v>3</v>
      </c>
      <c r="AZ91" s="66">
        <v>49</v>
      </c>
    </row>
    <row r="92" spans="1:52" ht="30.6" customHeight="1">
      <c r="A92" s="66"/>
      <c r="B92" s="66"/>
      <c r="C92" s="66"/>
      <c r="D92" s="75" t="s">
        <v>17</v>
      </c>
      <c r="E92" s="66"/>
      <c r="F92" s="76"/>
      <c r="G92" s="75">
        <v>2020</v>
      </c>
      <c r="H92" s="75"/>
      <c r="I92" s="75">
        <f>CCS!T$52</f>
        <v>0.2391304347826087</v>
      </c>
      <c r="J92" s="75"/>
      <c r="K92" s="66"/>
      <c r="L92" s="75"/>
      <c r="M92" s="75"/>
      <c r="N92" s="75"/>
      <c r="O92" s="69"/>
      <c r="P92" s="69"/>
      <c r="Q92" s="69"/>
      <c r="R92" s="75"/>
      <c r="S92" s="75"/>
      <c r="T92" s="75"/>
      <c r="U92" s="75"/>
      <c r="V92" s="75"/>
      <c r="W92" s="75"/>
      <c r="AB92" s="75"/>
      <c r="AC92" s="91"/>
      <c r="AD92" s="91"/>
      <c r="AE92" s="91"/>
      <c r="AF92" s="91"/>
      <c r="AG92" s="91"/>
      <c r="AH92" s="75"/>
      <c r="AI92" s="75"/>
      <c r="AJ92" s="75"/>
      <c r="AL92" s="75"/>
      <c r="AM92" s="75"/>
      <c r="AN92" s="75"/>
      <c r="AO92" s="75"/>
    </row>
    <row r="93" spans="1:52" ht="30.6" customHeight="1">
      <c r="A93" s="66"/>
      <c r="B93" s="66"/>
      <c r="C93" s="66"/>
      <c r="D93" s="66"/>
      <c r="E93" s="66"/>
      <c r="F93" s="75"/>
      <c r="G93" s="75">
        <v>2030</v>
      </c>
      <c r="H93" s="75"/>
      <c r="I93" s="75"/>
      <c r="J93" s="75">
        <v>1.08</v>
      </c>
      <c r="K93" s="66"/>
      <c r="L93" s="75"/>
      <c r="M93" s="75"/>
      <c r="N93" s="75"/>
      <c r="O93" s="69">
        <f>AL93+CCS!N$54/1000*7.45</f>
        <v>11.547499999999999</v>
      </c>
      <c r="P93" s="69">
        <f>O93*CCS!E$59/100</f>
        <v>0.28868749999999999</v>
      </c>
      <c r="Q93" s="69">
        <f>AN93+CCS!$N$60/3.6*7.45</f>
        <v>6.0013888888888891</v>
      </c>
      <c r="R93" s="75"/>
      <c r="S93" s="75"/>
      <c r="T93" s="75"/>
      <c r="U93" s="75"/>
      <c r="V93" s="75"/>
      <c r="W93" s="75"/>
      <c r="X93" s="69">
        <f>AW93</f>
        <v>50</v>
      </c>
      <c r="Y93" s="69">
        <f>AX93</f>
        <v>8</v>
      </c>
      <c r="Z93" s="69">
        <f>AY93</f>
        <v>2</v>
      </c>
      <c r="AA93" s="69">
        <f>AZ93</f>
        <v>49</v>
      </c>
      <c r="AB93" s="75"/>
      <c r="AC93" s="82">
        <f>-1*PMT($AC$1,U88,O93*1000000)/R88*S88/1000000</f>
        <v>21.095266560404809</v>
      </c>
      <c r="AD93" s="82">
        <f>P93*1000000/R88*S88/1000000</f>
        <v>8.2387985159817347</v>
      </c>
      <c r="AE93" s="91">
        <f>SUMIFS('DMS marginal prices'!$G$8:$G$70,'DMS marginal prices'!$F$8:$F$70,G93,'DMS marginal prices'!$D$8:$D$70,C88)/J93+SUMIFS('DMS marginal prices'!$G$8:$G$70,'DMS marginal prices'!$F$8:$F$70,G94,'DMS marginal prices'!$D$8:$D$70,"SUPELC"*0.7)*I94</f>
        <v>78.406849854700184</v>
      </c>
      <c r="AF93" s="91">
        <f>SUMIFS('DMS marginal prices'!$G$8:$G$70,'DMS marginal prices'!$F$8:$F$70,G93,'DMS marginal prices'!$D$8:$D$70,E88)*-1</f>
        <v>-43.622207164455787</v>
      </c>
      <c r="AG93" s="82">
        <f>SUM(AC93:AF94)*1000/SUM(K90)</f>
        <v>813.34513023210513</v>
      </c>
      <c r="AH93" s="75"/>
      <c r="AI93" s="75"/>
      <c r="AJ93" s="75"/>
      <c r="AL93" s="75">
        <v>4.47</v>
      </c>
      <c r="AM93" s="75">
        <v>0.26819999999999999</v>
      </c>
      <c r="AN93" s="75">
        <v>2.0694444444444446</v>
      </c>
      <c r="AO93" s="75"/>
      <c r="AW93" s="66">
        <v>50</v>
      </c>
      <c r="AX93" s="66">
        <v>8</v>
      </c>
      <c r="AY93" s="66">
        <v>2</v>
      </c>
      <c r="AZ93" s="66">
        <v>49</v>
      </c>
    </row>
    <row r="94" spans="1:52" ht="30.6" customHeight="1">
      <c r="A94" s="66"/>
      <c r="B94" s="66"/>
      <c r="C94" s="66"/>
      <c r="D94" s="75" t="s">
        <v>17</v>
      </c>
      <c r="E94" s="66"/>
      <c r="F94" s="75"/>
      <c r="G94" s="75">
        <v>2030</v>
      </c>
      <c r="H94" s="75"/>
      <c r="I94" s="75">
        <f>CCS!V$52</f>
        <v>0.20833333333333334</v>
      </c>
      <c r="J94" s="75"/>
      <c r="K94" s="66"/>
      <c r="L94" s="75"/>
      <c r="M94" s="75"/>
      <c r="N94" s="75"/>
      <c r="O94" s="69"/>
      <c r="P94" s="69"/>
      <c r="Q94" s="69"/>
      <c r="R94" s="75"/>
      <c r="S94" s="75"/>
      <c r="T94" s="75"/>
      <c r="U94" s="75"/>
      <c r="V94" s="75"/>
      <c r="W94" s="75"/>
      <c r="AB94" s="75"/>
      <c r="AC94" s="91"/>
      <c r="AD94" s="91"/>
      <c r="AE94" s="91"/>
      <c r="AF94" s="91"/>
      <c r="AG94" s="91"/>
      <c r="AH94" s="75"/>
      <c r="AI94" s="75"/>
      <c r="AJ94" s="75"/>
      <c r="AL94" s="75"/>
      <c r="AM94" s="75"/>
      <c r="AN94" s="75"/>
      <c r="AO94" s="75"/>
    </row>
    <row r="95" spans="1:52" ht="30.6" customHeight="1">
      <c r="A95" s="66"/>
      <c r="B95" s="66"/>
      <c r="C95" s="66"/>
      <c r="D95" s="66"/>
      <c r="E95" s="66"/>
      <c r="F95" s="75"/>
      <c r="G95" s="75">
        <v>2050</v>
      </c>
      <c r="H95" s="75"/>
      <c r="I95" s="75"/>
      <c r="J95" s="75">
        <v>1.08</v>
      </c>
      <c r="K95" s="66"/>
      <c r="L95" s="75"/>
      <c r="M95" s="75"/>
      <c r="N95" s="75"/>
      <c r="O95" s="69">
        <f>AL95+CCS!P$54/1000*7.45</f>
        <v>11.547499999999999</v>
      </c>
      <c r="P95" s="69">
        <f>O95*CCS!G$59/100</f>
        <v>0.28868749999999999</v>
      </c>
      <c r="Q95" s="69">
        <f>AN95+CCS!$P$60/3.6*7.45</f>
        <v>6.0013888888888891</v>
      </c>
      <c r="R95" s="75"/>
      <c r="S95" s="75"/>
      <c r="T95" s="75"/>
      <c r="U95" s="75"/>
      <c r="V95" s="75"/>
      <c r="W95" s="75"/>
      <c r="X95" s="69">
        <f>AW95</f>
        <v>40</v>
      </c>
      <c r="Y95" s="69">
        <f>AX95</f>
        <v>4</v>
      </c>
      <c r="Z95" s="69">
        <f>AY95</f>
        <v>1</v>
      </c>
      <c r="AA95" s="69">
        <f>AZ95</f>
        <v>49</v>
      </c>
      <c r="AB95" s="75"/>
      <c r="AC95" s="82">
        <f>-1*PMT($AC$1,U88,O95*1000000)/R88*S88/1000000</f>
        <v>21.095266560404809</v>
      </c>
      <c r="AD95" s="82">
        <f>P95*1000000/R88*S88/1000000</f>
        <v>8.2387985159817347</v>
      </c>
      <c r="AE95" s="91">
        <f>SUMIFS('DMS marginal prices'!$G$8:$G$70,'DMS marginal prices'!$F$8:$F$70,G95,'DMS marginal prices'!$D$8:$D$70,C88)/J95+SUMIFS('DMS marginal prices'!$G$8:$G$70,'DMS marginal prices'!$F$8:$F$70,G96,'DMS marginal prices'!$D$8:$D$70,"SUPELC"*0.7)*I96</f>
        <v>88.978343900342495</v>
      </c>
      <c r="AF95" s="91">
        <f>SUMIFS('DMS marginal prices'!$G$8:$G$70,'DMS marginal prices'!$F$8:$F$70,G95,'DMS marginal prices'!$D$8:$D$70,E88)*-1</f>
        <v>-31.66441373599169</v>
      </c>
      <c r="AG95" s="82">
        <f>SUM(AC95:AF96)*1000/SUM(K90)</f>
        <v>1099.1289036880005</v>
      </c>
      <c r="AH95" s="75"/>
      <c r="AI95" s="75"/>
      <c r="AJ95" s="75"/>
      <c r="AL95" s="75">
        <v>4.47</v>
      </c>
      <c r="AM95" s="75">
        <v>0.2384</v>
      </c>
      <c r="AN95" s="75">
        <v>2.0694444444444446</v>
      </c>
      <c r="AO95" s="75"/>
      <c r="AW95" s="66">
        <v>40</v>
      </c>
      <c r="AX95" s="66">
        <v>4</v>
      </c>
      <c r="AY95" s="66">
        <v>1</v>
      </c>
      <c r="AZ95" s="66">
        <v>49</v>
      </c>
    </row>
    <row r="96" spans="1:52" ht="30.6" customHeight="1">
      <c r="A96" s="66"/>
      <c r="B96" s="66"/>
      <c r="C96" s="66"/>
      <c r="D96" s="75" t="s">
        <v>17</v>
      </c>
      <c r="E96" s="66"/>
      <c r="F96" s="75"/>
      <c r="G96" s="75">
        <v>2050</v>
      </c>
      <c r="H96" s="75"/>
      <c r="I96" s="75">
        <f>CCS!W$52</f>
        <v>0.20833333333333334</v>
      </c>
      <c r="J96" s="75"/>
      <c r="K96" s="66"/>
      <c r="L96" s="75"/>
      <c r="M96" s="75"/>
      <c r="N96" s="75"/>
      <c r="O96" s="69"/>
      <c r="P96" s="69"/>
      <c r="Q96" s="69"/>
      <c r="R96" s="75"/>
      <c r="S96" s="75"/>
      <c r="T96" s="75"/>
      <c r="U96" s="75"/>
      <c r="V96" s="75"/>
      <c r="W96" s="75"/>
      <c r="X96" s="75"/>
      <c r="Y96" s="75"/>
      <c r="Z96" s="75"/>
      <c r="AA96" s="75"/>
      <c r="AB96" s="75"/>
      <c r="AC96" s="91"/>
      <c r="AD96" s="91"/>
      <c r="AE96" s="91"/>
      <c r="AF96" s="91"/>
      <c r="AG96" s="91"/>
      <c r="AH96" s="75"/>
      <c r="AI96" s="75"/>
      <c r="AJ96" s="75"/>
      <c r="AL96" s="75"/>
      <c r="AM96" s="75"/>
      <c r="AN96" s="75"/>
      <c r="AO96" s="75"/>
    </row>
    <row r="97" spans="1:52" ht="30.6" customHeight="1">
      <c r="A97" s="75" t="str">
        <f>"EHCCS"&amp;RIGHT(C97,3)&amp;"POCN1"</f>
        <v>EHCCSWPEPOCN1</v>
      </c>
      <c r="B97" s="75" t="s">
        <v>204</v>
      </c>
      <c r="C97" s="66" t="s">
        <v>182</v>
      </c>
      <c r="D97" s="66"/>
      <c r="E97" s="195" t="s">
        <v>601</v>
      </c>
      <c r="F97" s="76"/>
      <c r="G97" s="75">
        <v>2013</v>
      </c>
      <c r="H97" s="74">
        <v>2025</v>
      </c>
      <c r="I97" s="66"/>
      <c r="J97" s="75">
        <v>1.024</v>
      </c>
      <c r="K97" s="75"/>
      <c r="L97" s="75"/>
      <c r="M97" s="75"/>
      <c r="N97" s="75"/>
      <c r="O97" s="69">
        <f>AL97+CCS!L$54/1000*7.45</f>
        <v>17.88</v>
      </c>
      <c r="P97" s="69">
        <f>O97*CCS!C$59/100</f>
        <v>0.44699999999999995</v>
      </c>
      <c r="Q97" s="69">
        <f>AN97+CCS!$L$60/3.6*7.45</f>
        <v>6.0013888888888891</v>
      </c>
      <c r="R97" s="68">
        <v>3.1536000000000002E-2</v>
      </c>
      <c r="S97" s="68">
        <v>0.9</v>
      </c>
      <c r="T97" s="68">
        <v>1</v>
      </c>
      <c r="U97" s="75">
        <v>25</v>
      </c>
      <c r="V97" s="75">
        <v>1</v>
      </c>
      <c r="W97" s="75"/>
      <c r="X97" s="69">
        <f>AW97</f>
        <v>90</v>
      </c>
      <c r="Y97" s="69">
        <f>AX97</f>
        <v>0</v>
      </c>
      <c r="Z97" s="69">
        <f>AY97</f>
        <v>1</v>
      </c>
      <c r="AA97" s="69">
        <f>AZ97</f>
        <v>11</v>
      </c>
      <c r="AB97" s="75"/>
      <c r="AC97" s="82">
        <f>-1*PMT($AC$1,U97,O97*1000000)/R97*S97/1000000</f>
        <v>32.663638545142931</v>
      </c>
      <c r="AD97" s="82">
        <f>P97*1000000/R97*S97/1000000</f>
        <v>12.756849315068491</v>
      </c>
      <c r="AE97" s="91">
        <f>SUMIFS('DMS marginal prices'!$G$8:$G$70,'DMS marginal prices'!$F$8:$F$70,G97,'DMS marginal prices'!$D$8:$D$70,C97)/J97+SUMIFS('DMS marginal prices'!$G$8:$G$70,'DMS marginal prices'!$F$8:$F$70,G98,'DMS marginal prices'!$D$8:$D$70,D98)*I98</f>
        <v>0</v>
      </c>
      <c r="AF97" s="91">
        <f>SUMIFS('DMS marginal prices'!$G$8:$G$70,'DMS marginal prices'!$F$8:$F$70,G97,'DMS marginal prices'!$D$8:$D$70,E97)*-1</f>
        <v>0</v>
      </c>
      <c r="AG97" s="82">
        <f>SUM(AC97:AF99)*1000/SUM(K99)</f>
        <v>576.15840837477504</v>
      </c>
      <c r="AH97" s="75"/>
      <c r="AI97" s="75"/>
      <c r="AJ97" s="75"/>
      <c r="AL97" s="75">
        <v>7.45</v>
      </c>
      <c r="AM97" s="75">
        <v>0.25330000000000003</v>
      </c>
      <c r="AN97" s="75">
        <v>2.0694444444444446</v>
      </c>
      <c r="AO97" s="75"/>
      <c r="AW97" s="66">
        <v>90</v>
      </c>
      <c r="AY97" s="66">
        <v>1</v>
      </c>
      <c r="AZ97" s="66">
        <v>11</v>
      </c>
    </row>
    <row r="98" spans="1:52" ht="30.6" customHeight="1">
      <c r="A98" s="66"/>
      <c r="B98" s="66"/>
      <c r="C98" s="66"/>
      <c r="D98" s="75" t="s">
        <v>17</v>
      </c>
      <c r="E98" s="66"/>
      <c r="F98" s="76"/>
      <c r="G98" s="75">
        <v>2013</v>
      </c>
      <c r="I98" s="75">
        <f>CCS!S$52</f>
        <v>0.24444444444444444</v>
      </c>
      <c r="J98" s="75"/>
      <c r="K98" s="75"/>
      <c r="L98" s="75"/>
      <c r="M98" s="75"/>
      <c r="N98" s="75"/>
      <c r="R98" s="68"/>
      <c r="S98" s="68"/>
      <c r="T98" s="68"/>
      <c r="U98" s="75"/>
      <c r="V98" s="75"/>
      <c r="W98" s="75"/>
      <c r="X98" s="69"/>
      <c r="Y98" s="69"/>
      <c r="Z98" s="69"/>
      <c r="AA98" s="69"/>
      <c r="AB98" s="75"/>
      <c r="AC98" s="91"/>
      <c r="AD98" s="91"/>
      <c r="AE98" s="91"/>
      <c r="AF98" s="91"/>
      <c r="AG98" s="91"/>
      <c r="AH98" s="75"/>
      <c r="AI98" s="75"/>
      <c r="AJ98" s="75"/>
      <c r="AL98" s="75"/>
      <c r="AM98" s="75"/>
      <c r="AN98" s="75"/>
      <c r="AO98" s="75"/>
    </row>
    <row r="99" spans="1:52" ht="30.6" customHeight="1">
      <c r="A99" s="66"/>
      <c r="F99" s="74" t="str">
        <f>ELC_CCS_Comm!$C$14</f>
        <v>CO2BIOE</v>
      </c>
      <c r="G99" s="75">
        <v>2013</v>
      </c>
      <c r="H99" s="75"/>
      <c r="I99" s="75"/>
      <c r="J99" s="75"/>
      <c r="K99" s="74">
        <f>Emissions!C11*CCS!$C$52/100/J88</f>
        <v>78.833333333333329</v>
      </c>
      <c r="L99" s="75"/>
      <c r="M99" s="75"/>
      <c r="N99" s="75"/>
      <c r="O99" s="69">
        <f>AL99+CCS!M$54/1000*7.45</f>
        <v>15.645</v>
      </c>
      <c r="P99" s="69">
        <f>O99*CCS!D$59/100</f>
        <v>0.39112499999999994</v>
      </c>
      <c r="Q99" s="69">
        <f>AN99+CCS!$M$60/3.6*7.45</f>
        <v>6.0013888888888891</v>
      </c>
      <c r="R99" s="75"/>
      <c r="S99" s="75"/>
      <c r="T99" s="75"/>
      <c r="U99" s="75"/>
      <c r="V99" s="75"/>
      <c r="W99" s="75"/>
      <c r="X99" s="69"/>
      <c r="Y99" s="69"/>
      <c r="Z99" s="69"/>
      <c r="AA99" s="69"/>
      <c r="AB99" s="75"/>
      <c r="AC99" s="82"/>
      <c r="AD99" s="82"/>
      <c r="AE99" s="91"/>
      <c r="AF99" s="91"/>
      <c r="AG99" s="82"/>
      <c r="AH99" s="75"/>
      <c r="AI99" s="75"/>
      <c r="AJ99" s="75"/>
      <c r="AL99" s="75">
        <v>7.45</v>
      </c>
      <c r="AM99" s="75">
        <v>0.24585000000000001</v>
      </c>
      <c r="AN99" s="75">
        <v>2.0694444444444446</v>
      </c>
      <c r="AO99" s="75"/>
    </row>
    <row r="100" spans="1:52" ht="30.6" customHeight="1">
      <c r="A100" s="66"/>
      <c r="G100" s="75">
        <v>2020</v>
      </c>
      <c r="H100" s="75"/>
      <c r="I100" s="75"/>
      <c r="J100" s="75">
        <v>1.024</v>
      </c>
      <c r="L100" s="75"/>
      <c r="M100" s="75"/>
      <c r="N100" s="75"/>
      <c r="O100" s="69"/>
      <c r="P100" s="69"/>
      <c r="Q100" s="69"/>
      <c r="R100" s="75"/>
      <c r="S100" s="75"/>
      <c r="T100" s="75"/>
      <c r="U100" s="75"/>
      <c r="V100" s="75"/>
      <c r="W100" s="75"/>
      <c r="X100" s="69">
        <f>AW100</f>
        <v>50</v>
      </c>
      <c r="Y100" s="69">
        <f>AX100</f>
        <v>0</v>
      </c>
      <c r="Z100" s="69">
        <f>AY100</f>
        <v>1</v>
      </c>
      <c r="AA100" s="69">
        <f>AZ100</f>
        <v>11</v>
      </c>
      <c r="AB100" s="75"/>
      <c r="AC100" s="82">
        <f>-1*PMT($AC$1,U97,O100*1000000)/R97*S97/1000000</f>
        <v>0</v>
      </c>
      <c r="AD100" s="82">
        <f>P100*1000000/R97*S97/1000000</f>
        <v>0</v>
      </c>
      <c r="AE100" s="91">
        <f>SUMIFS('DMS marginal prices'!$G$8:$G$70,'DMS marginal prices'!$F$8:$F$70,G100,'DMS marginal prices'!$D$8:$D$70,C97)/J100+SUMIFS('DMS marginal prices'!$G$8:$G$70,'DMS marginal prices'!$F$8:$F$70,G101,'DMS marginal prices'!$D$8:$D$70,"SUPELC"*0.7)*I101</f>
        <v>0</v>
      </c>
      <c r="AF100" s="91">
        <f>-1*(SUMIFS('DMS marginal prices'!$G$8:$G$70,'DMS marginal prices'!$F$8:$F$70,G100,'DMS marginal prices'!$D$8:$D$70,E97))</f>
        <v>-52.241908895167256</v>
      </c>
      <c r="AG100" s="82">
        <f>SUM(AC100:AF101)*1000/SUM(K99)</f>
        <v>-662.68806209514491</v>
      </c>
      <c r="AH100" s="75"/>
      <c r="AI100" s="75"/>
      <c r="AJ100" s="75"/>
      <c r="AL100" s="75"/>
      <c r="AM100" s="75"/>
      <c r="AN100" s="75"/>
      <c r="AO100" s="75"/>
      <c r="AW100" s="66">
        <v>50</v>
      </c>
      <c r="AY100" s="66">
        <v>1</v>
      </c>
      <c r="AZ100" s="66">
        <v>11</v>
      </c>
    </row>
    <row r="101" spans="1:52" ht="30.6" customHeight="1">
      <c r="A101" s="66"/>
      <c r="D101" s="75" t="s">
        <v>17</v>
      </c>
      <c r="F101" s="76"/>
      <c r="G101" s="75">
        <v>2020</v>
      </c>
      <c r="H101" s="75"/>
      <c r="I101" s="75">
        <f>CCS!T$52</f>
        <v>0.2391304347826087</v>
      </c>
      <c r="J101" s="75"/>
      <c r="K101" s="66"/>
      <c r="L101" s="75"/>
      <c r="M101" s="75"/>
      <c r="N101" s="75"/>
      <c r="O101" s="69"/>
      <c r="P101" s="69"/>
      <c r="Q101" s="69"/>
      <c r="R101" s="75"/>
      <c r="S101" s="75"/>
      <c r="T101" s="75"/>
      <c r="U101" s="75"/>
      <c r="V101" s="75"/>
      <c r="W101" s="75"/>
      <c r="AB101" s="75"/>
      <c r="AC101" s="91"/>
      <c r="AD101" s="91"/>
      <c r="AE101" s="91"/>
      <c r="AF101" s="91"/>
      <c r="AG101" s="91"/>
      <c r="AH101" s="75"/>
      <c r="AI101" s="75"/>
      <c r="AJ101" s="75"/>
      <c r="AL101" s="75"/>
      <c r="AM101" s="75"/>
      <c r="AN101" s="75"/>
      <c r="AO101" s="75"/>
    </row>
    <row r="102" spans="1:52" ht="30.6" customHeight="1">
      <c r="A102" s="66"/>
      <c r="F102" s="75"/>
      <c r="G102" s="75">
        <v>2030</v>
      </c>
      <c r="H102" s="75"/>
      <c r="I102" s="75"/>
      <c r="J102" s="75">
        <v>1.024</v>
      </c>
      <c r="K102" s="66"/>
      <c r="L102" s="75"/>
      <c r="M102" s="75"/>
      <c r="N102" s="75"/>
      <c r="O102" s="69">
        <f>AL102+CCS!N$54/1000*7.45</f>
        <v>13.782499999999999</v>
      </c>
      <c r="P102" s="69">
        <f>O102*CCS!E$59/100</f>
        <v>0.34456249999999999</v>
      </c>
      <c r="Q102" s="69">
        <f>AN102+CCS!$N$60/3.6*7.45</f>
        <v>6.0013888888888891</v>
      </c>
      <c r="R102" s="75"/>
      <c r="S102" s="75"/>
      <c r="T102" s="75"/>
      <c r="U102" s="75"/>
      <c r="V102" s="75"/>
      <c r="W102" s="75"/>
      <c r="X102" s="69">
        <f>AW102</f>
        <v>40</v>
      </c>
      <c r="Y102" s="69">
        <f>AX102</f>
        <v>0</v>
      </c>
      <c r="Z102" s="69">
        <f>AY102</f>
        <v>1</v>
      </c>
      <c r="AA102" s="69">
        <f>AZ102</f>
        <v>11</v>
      </c>
      <c r="AB102" s="75"/>
      <c r="AC102" s="82">
        <f>-1*PMT($AC$1,U97,O102*1000000)/R97*S97/1000000</f>
        <v>25.178221378547672</v>
      </c>
      <c r="AD102" s="82">
        <f>P102*1000000/R97*S97/1000000</f>
        <v>9.8334046803652964</v>
      </c>
      <c r="AE102" s="91">
        <f>SUMIFS('DMS marginal prices'!$G$8:$G$70,'DMS marginal prices'!$F$8:$F$70,G102,'DMS marginal prices'!$D$8:$D$70,C97)/J102+SUMIFS('DMS marginal prices'!$G$8:$G$70,'DMS marginal prices'!$F$8:$F$70,G103,'DMS marginal prices'!$D$8:$D$70,"SUPELC"*0.7)*I103</f>
        <v>0</v>
      </c>
      <c r="AF102" s="91">
        <f>SUMIFS('DMS marginal prices'!$G$8:$G$70,'DMS marginal prices'!$F$8:$F$70,G102,'DMS marginal prices'!$D$8:$D$70,E97)*-1</f>
        <v>-43.622207164455787</v>
      </c>
      <c r="AG102" s="82">
        <f>SUM(AC102:AF103)*1000/SUM(K99)</f>
        <v>-109.22513030286876</v>
      </c>
      <c r="AH102" s="75"/>
      <c r="AI102" s="75"/>
      <c r="AJ102" s="75"/>
      <c r="AL102" s="75">
        <v>6.7050000000000001</v>
      </c>
      <c r="AM102" s="75">
        <v>0.23094999999999999</v>
      </c>
      <c r="AN102" s="75">
        <v>2.0694444444444446</v>
      </c>
      <c r="AO102" s="75"/>
      <c r="AW102" s="66">
        <v>40</v>
      </c>
      <c r="AY102" s="66">
        <v>1</v>
      </c>
      <c r="AZ102" s="66">
        <v>11</v>
      </c>
    </row>
    <row r="103" spans="1:52" ht="30.6" customHeight="1">
      <c r="A103" s="66"/>
      <c r="D103" s="75" t="s">
        <v>17</v>
      </c>
      <c r="F103" s="75"/>
      <c r="G103" s="75">
        <v>2030</v>
      </c>
      <c r="H103" s="75"/>
      <c r="I103" s="75">
        <f>CCS!V$52</f>
        <v>0.20833333333333334</v>
      </c>
      <c r="J103" s="75"/>
      <c r="K103" s="66"/>
      <c r="L103" s="75"/>
      <c r="M103" s="75"/>
      <c r="N103" s="75"/>
      <c r="O103" s="69"/>
      <c r="P103" s="69"/>
      <c r="Q103" s="69"/>
      <c r="R103" s="75"/>
      <c r="S103" s="75"/>
      <c r="T103" s="75"/>
      <c r="U103" s="75"/>
      <c r="V103" s="75"/>
      <c r="W103" s="75"/>
      <c r="AB103" s="75"/>
      <c r="AC103" s="91"/>
      <c r="AD103" s="91"/>
      <c r="AE103" s="91"/>
      <c r="AF103" s="91"/>
      <c r="AG103" s="91"/>
      <c r="AH103" s="75"/>
      <c r="AI103" s="75"/>
      <c r="AJ103" s="75"/>
      <c r="AL103" s="75"/>
      <c r="AM103" s="75"/>
      <c r="AN103" s="75"/>
      <c r="AO103" s="75"/>
    </row>
    <row r="104" spans="1:52" ht="30.6" customHeight="1">
      <c r="A104" s="66"/>
      <c r="F104" s="75"/>
      <c r="G104" s="75">
        <v>2050</v>
      </c>
      <c r="H104" s="75"/>
      <c r="I104" s="75"/>
      <c r="J104" s="75">
        <v>1.024</v>
      </c>
      <c r="K104" s="66"/>
      <c r="L104" s="75"/>
      <c r="M104" s="75"/>
      <c r="N104" s="75"/>
      <c r="O104" s="69">
        <f>AL104+CCS!P$54/1000*7.45</f>
        <v>13.037500000000001</v>
      </c>
      <c r="P104" s="69">
        <f>O104*CCS!G$59/100</f>
        <v>0.32593749999999999</v>
      </c>
      <c r="Q104" s="69">
        <f>AN104+CCS!$P$60/3.6*7.45</f>
        <v>6.0013888888888891</v>
      </c>
      <c r="R104" s="75"/>
      <c r="S104" s="75"/>
      <c r="T104" s="75"/>
      <c r="U104" s="75"/>
      <c r="V104" s="75"/>
      <c r="W104" s="75"/>
      <c r="X104" s="69">
        <f>AW104</f>
        <v>40</v>
      </c>
      <c r="Y104" s="69">
        <f>AX104</f>
        <v>0</v>
      </c>
      <c r="Z104" s="69">
        <f>AY104</f>
        <v>0</v>
      </c>
      <c r="AA104" s="69">
        <f>AZ104</f>
        <v>11</v>
      </c>
      <c r="AB104" s="75"/>
      <c r="AC104" s="82">
        <f>-1*PMT($AC$1,U97,O104*1000000)/R97*S97/1000000</f>
        <v>23.81723643916672</v>
      </c>
      <c r="AD104" s="82">
        <f>P104*1000000/R97*S97/1000000</f>
        <v>9.3018692922374431</v>
      </c>
      <c r="AE104" s="91">
        <f>SUMIFS('DMS marginal prices'!$G$8:$G$70,'DMS marginal prices'!$F$8:$F$70,G104,'DMS marginal prices'!$D$8:$D$70,C97)/J104+SUMIFS('DMS marginal prices'!$G$8:$G$70,'DMS marginal prices'!$F$8:$F$70,G105,'DMS marginal prices'!$D$8:$D$70,"SUPELC"*0.7)*I105</f>
        <v>0</v>
      </c>
      <c r="AF104" s="91">
        <f>SUMIFS('DMS marginal prices'!$G$8:$G$70,'DMS marginal prices'!$F$8:$F$70,G104,'DMS marginal prices'!$D$8:$D$70,E97)*-1</f>
        <v>-31.66441373599169</v>
      </c>
      <c r="AG104" s="82">
        <f>SUM(AC104:AF105)*1000/SUM(K99)</f>
        <v>18.452752584513377</v>
      </c>
      <c r="AH104" s="75"/>
      <c r="AI104" s="75"/>
      <c r="AJ104" s="75"/>
      <c r="AL104" s="75">
        <v>5.9600000000000009</v>
      </c>
      <c r="AM104" s="75">
        <v>0.20860000000000001</v>
      </c>
      <c r="AN104" s="75">
        <v>2.0694444444444446</v>
      </c>
      <c r="AO104" s="75"/>
      <c r="AW104" s="66">
        <v>40</v>
      </c>
      <c r="AY104" s="66">
        <v>0</v>
      </c>
      <c r="AZ104" s="66">
        <v>11</v>
      </c>
    </row>
    <row r="105" spans="1:52" ht="30.6" customHeight="1">
      <c r="A105" s="66"/>
      <c r="D105" s="75" t="s">
        <v>17</v>
      </c>
      <c r="F105" s="75"/>
      <c r="G105" s="75">
        <v>2050</v>
      </c>
      <c r="H105" s="75"/>
      <c r="I105" s="75">
        <f>CCS!W$52</f>
        <v>0.20833333333333334</v>
      </c>
      <c r="J105" s="75"/>
      <c r="K105" s="66"/>
      <c r="L105" s="75"/>
      <c r="M105" s="75"/>
      <c r="N105" s="75"/>
      <c r="O105" s="69"/>
      <c r="P105" s="69"/>
      <c r="Q105" s="69"/>
      <c r="R105" s="75"/>
      <c r="S105" s="75"/>
      <c r="T105" s="75"/>
      <c r="U105" s="75"/>
      <c r="V105" s="75"/>
      <c r="W105" s="75"/>
      <c r="X105" s="69"/>
      <c r="Y105" s="69"/>
      <c r="Z105" s="69"/>
      <c r="AA105" s="69"/>
      <c r="AB105" s="75"/>
      <c r="AC105" s="91"/>
      <c r="AD105" s="91"/>
      <c r="AE105" s="91"/>
      <c r="AF105" s="91"/>
      <c r="AG105" s="91"/>
      <c r="AH105" s="75"/>
      <c r="AI105" s="75"/>
      <c r="AJ105" s="75"/>
      <c r="AL105" s="75"/>
      <c r="AM105" s="75"/>
      <c r="AN105" s="75"/>
      <c r="AO105" s="75"/>
    </row>
    <row r="106" spans="1:52" ht="30.6" customHeight="1">
      <c r="A106" s="75" t="str">
        <f>"EHCCS"&amp;RIGHT(C106,3)&amp;"POCN1"</f>
        <v>EHCCSNGAPOCN1</v>
      </c>
      <c r="B106" s="75" t="s">
        <v>205</v>
      </c>
      <c r="C106" s="75" t="s">
        <v>597</v>
      </c>
      <c r="E106" s="195" t="s">
        <v>601</v>
      </c>
      <c r="F106" s="76"/>
      <c r="G106" s="75">
        <v>2013</v>
      </c>
      <c r="H106" s="74">
        <v>2025</v>
      </c>
      <c r="I106" s="66"/>
      <c r="J106" s="75">
        <v>1.05</v>
      </c>
      <c r="K106" s="75"/>
      <c r="L106" s="75"/>
      <c r="M106" s="75"/>
      <c r="N106" s="75"/>
      <c r="O106" s="69">
        <f>AL106+CCS!L$54/1000*7.45</f>
        <v>10.876999999999999</v>
      </c>
      <c r="P106" s="69">
        <f>O106*CCS!C$59/100</f>
        <v>0.27192499999999997</v>
      </c>
      <c r="Q106" s="69">
        <f>AN106+CCS!$L$60/3.6*7.45</f>
        <v>6.2083333333333339</v>
      </c>
      <c r="R106" s="68">
        <v>3.1536000000000002E-2</v>
      </c>
      <c r="S106" s="68">
        <v>0.9</v>
      </c>
      <c r="T106" s="68">
        <v>1</v>
      </c>
      <c r="U106" s="75">
        <v>25</v>
      </c>
      <c r="V106" s="75">
        <v>0.5</v>
      </c>
      <c r="W106" s="75"/>
      <c r="X106" s="69">
        <f>AW106</f>
        <v>10</v>
      </c>
      <c r="Y106" s="69">
        <f>AX106</f>
        <v>3</v>
      </c>
      <c r="Z106" s="69">
        <f>AY106</f>
        <v>1</v>
      </c>
      <c r="AA106" s="69">
        <f>AZ106</f>
        <v>0.3</v>
      </c>
      <c r="AB106" s="75"/>
      <c r="AC106" s="82">
        <f>-1*PMT($AC$1,U106,O106*1000000)/R106*S106/1000000</f>
        <v>19.870380114961947</v>
      </c>
      <c r="AD106" s="82">
        <f>P106*1000000/R106*S106/1000000</f>
        <v>7.7604166666666661</v>
      </c>
      <c r="AE106" s="91">
        <f>SUMIFS('DMS marginal prices'!$G$8:$G$70,'DMS marginal prices'!$F$8:$F$70,G106,'DMS marginal prices'!$D$8:$D$70,C106)/J106+SUMIFS('DMS marginal prices'!$G$8:$G$70,'DMS marginal prices'!$F$8:$F$70,G107,'DMS marginal prices'!$D$8:$D$70,D107)*I107</f>
        <v>0</v>
      </c>
      <c r="AF106" s="91">
        <f>SUMIFS('DMS marginal prices'!$G$8:$G$70,'DMS marginal prices'!$F$8:$F$70,G106,'DMS marginal prices'!$D$8:$D$70,E106)*-1</f>
        <v>0</v>
      </c>
      <c r="AG106" s="82">
        <f>SUM(AC106:AF108)*1000/SUM(K108)</f>
        <v>585.55774112621543</v>
      </c>
      <c r="AH106" s="75"/>
      <c r="AI106" s="75"/>
      <c r="AJ106" s="75"/>
      <c r="AL106" s="75">
        <v>0.44700000000000001</v>
      </c>
      <c r="AM106" s="75">
        <v>1.49E-2</v>
      </c>
      <c r="AN106" s="75">
        <v>2.276388888888889</v>
      </c>
      <c r="AO106" s="75"/>
      <c r="AW106" s="66">
        <v>10</v>
      </c>
      <c r="AX106" s="66">
        <v>3</v>
      </c>
      <c r="AY106" s="66">
        <v>1</v>
      </c>
      <c r="AZ106" s="66">
        <v>0.3</v>
      </c>
    </row>
    <row r="107" spans="1:52" ht="30.6" customHeight="1">
      <c r="A107" s="66"/>
      <c r="B107" s="66"/>
      <c r="D107" s="75" t="s">
        <v>17</v>
      </c>
      <c r="F107" s="76"/>
      <c r="G107" s="75">
        <v>2013</v>
      </c>
      <c r="I107" s="75">
        <f>CCS!S$52</f>
        <v>0.24444444444444444</v>
      </c>
      <c r="J107" s="75"/>
      <c r="K107" s="75"/>
      <c r="L107" s="75"/>
      <c r="M107" s="75"/>
      <c r="N107" s="75"/>
      <c r="R107" s="68"/>
      <c r="S107" s="68"/>
      <c r="T107" s="68"/>
      <c r="U107" s="75"/>
      <c r="V107" s="75"/>
      <c r="W107" s="75"/>
      <c r="X107" s="69"/>
      <c r="Y107" s="69"/>
      <c r="Z107" s="69"/>
      <c r="AA107" s="69"/>
      <c r="AB107" s="75"/>
      <c r="AC107" s="91"/>
      <c r="AD107" s="91"/>
      <c r="AE107" s="91"/>
      <c r="AF107" s="91"/>
      <c r="AG107" s="91"/>
      <c r="AH107" s="75"/>
      <c r="AI107" s="75"/>
      <c r="AJ107" s="75"/>
      <c r="AL107" s="75"/>
      <c r="AM107" s="75"/>
      <c r="AN107" s="75"/>
      <c r="AO107" s="75"/>
    </row>
    <row r="108" spans="1:52" ht="30.6" customHeight="1">
      <c r="A108" s="66"/>
      <c r="B108" s="66"/>
      <c r="D108" s="66"/>
      <c r="F108" s="74" t="str">
        <f>ELC_CCS_Comm!$C$15</f>
        <v>CO2FOSE</v>
      </c>
      <c r="G108" s="74">
        <v>2013</v>
      </c>
      <c r="H108" s="75"/>
      <c r="I108" s="66"/>
      <c r="J108" s="75"/>
      <c r="K108" s="74">
        <f>Emissions!F11*CCS!$C$52/100/J106</f>
        <v>47.187142857142867</v>
      </c>
      <c r="L108" s="75"/>
      <c r="M108" s="75"/>
      <c r="N108" s="75"/>
      <c r="R108" s="75"/>
      <c r="S108" s="75"/>
      <c r="T108" s="75"/>
      <c r="U108" s="75"/>
      <c r="V108" s="75"/>
      <c r="W108" s="75"/>
      <c r="X108" s="69"/>
      <c r="Y108" s="69"/>
      <c r="Z108" s="69"/>
      <c r="AA108" s="69"/>
      <c r="AB108" s="75"/>
      <c r="AC108" s="82"/>
      <c r="AD108" s="82"/>
      <c r="AE108" s="91"/>
      <c r="AF108" s="91"/>
      <c r="AG108" s="82"/>
      <c r="AH108" s="75"/>
      <c r="AI108" s="75"/>
      <c r="AJ108" s="75"/>
      <c r="AL108" s="75"/>
      <c r="AM108" s="75"/>
      <c r="AN108" s="75"/>
      <c r="AO108" s="75"/>
    </row>
    <row r="109" spans="1:52" ht="30.6" customHeight="1">
      <c r="A109" s="66"/>
      <c r="B109" s="66"/>
      <c r="F109" s="76"/>
      <c r="G109" s="75">
        <v>2020</v>
      </c>
      <c r="H109" s="75"/>
      <c r="I109" s="75"/>
      <c r="J109" s="75">
        <v>1.05</v>
      </c>
      <c r="K109" s="66"/>
      <c r="L109" s="75"/>
      <c r="M109" s="75"/>
      <c r="N109" s="75"/>
      <c r="O109" s="69">
        <f>AL109+CCS!M$54/1000*7.45</f>
        <v>8.6419999999999995</v>
      </c>
      <c r="P109" s="69">
        <f>O109*CCS!D$59/100</f>
        <v>0.21604999999999996</v>
      </c>
      <c r="Q109" s="69">
        <f>AN109+CCS!$M$60/3.6*7.45</f>
        <v>6.2083333333333339</v>
      </c>
      <c r="R109" s="75"/>
      <c r="S109" s="75"/>
      <c r="T109" s="75"/>
      <c r="U109" s="75"/>
      <c r="V109" s="75"/>
      <c r="W109" s="75"/>
      <c r="X109" s="69">
        <f>AW109</f>
        <v>9</v>
      </c>
      <c r="Y109" s="69">
        <f>AX109</f>
        <v>3</v>
      </c>
      <c r="Z109" s="69">
        <f>AY109</f>
        <v>1</v>
      </c>
      <c r="AA109" s="69">
        <f>AZ109</f>
        <v>0.3</v>
      </c>
      <c r="AB109" s="75"/>
      <c r="AC109" s="82">
        <f>-1*PMT($AC$1,U106,O109*1000000)/R106*S106/1000000</f>
        <v>15.787425296819086</v>
      </c>
      <c r="AD109" s="82">
        <f>P109*1000000/R106*S106/1000000</f>
        <v>6.1658105022831045</v>
      </c>
      <c r="AE109" s="91">
        <f>SUMIFS('DMS marginal prices'!$G$8:$G$70,'DMS marginal prices'!$F$8:$F$70,G109,'DMS marginal prices'!$D$8:$D$70,C106)/J109+SUMIFS('DMS marginal prices'!$G$8:$G$70,'DMS marginal prices'!$F$8:$F$70,G110,'DMS marginal prices'!$D$8:$D$70,"SUPELC"*0.7)*I110</f>
        <v>0</v>
      </c>
      <c r="AF109" s="91">
        <f>-1*(SUMIFS('DMS marginal prices'!$G$8:$G$70,'DMS marginal prices'!$F$8:$F$70,G109,'DMS marginal prices'!$D$8:$D$70,E106))</f>
        <v>-52.241908895167256</v>
      </c>
      <c r="AG109" s="82">
        <f>SUM(AC109:AF110)*1000/SUM(K108)</f>
        <v>-641.8840231069463</v>
      </c>
      <c r="AH109" s="75"/>
      <c r="AI109" s="75"/>
      <c r="AJ109" s="75"/>
      <c r="AL109" s="75">
        <v>0.44700000000000001</v>
      </c>
      <c r="AM109" s="75">
        <v>1.45275E-2</v>
      </c>
      <c r="AN109" s="75">
        <v>2.276388888888889</v>
      </c>
      <c r="AO109" s="75"/>
      <c r="AW109" s="66">
        <v>9</v>
      </c>
      <c r="AX109" s="66">
        <v>3</v>
      </c>
      <c r="AY109" s="66">
        <v>1</v>
      </c>
      <c r="AZ109" s="66">
        <v>0.3</v>
      </c>
    </row>
    <row r="110" spans="1:52" ht="30.6" customHeight="1">
      <c r="A110" s="66"/>
      <c r="B110" s="66"/>
      <c r="D110" s="75" t="s">
        <v>17</v>
      </c>
      <c r="F110" s="76"/>
      <c r="G110" s="75">
        <v>2020</v>
      </c>
      <c r="H110" s="75"/>
      <c r="I110" s="75">
        <f>CCS!T$52</f>
        <v>0.2391304347826087</v>
      </c>
      <c r="J110" s="75"/>
      <c r="K110" s="66"/>
      <c r="L110" s="75"/>
      <c r="M110" s="75"/>
      <c r="N110" s="75"/>
      <c r="O110" s="69"/>
      <c r="P110" s="69"/>
      <c r="Q110" s="69"/>
      <c r="R110" s="75"/>
      <c r="S110" s="75"/>
      <c r="T110" s="75"/>
      <c r="U110" s="75"/>
      <c r="V110" s="75"/>
      <c r="W110" s="75"/>
      <c r="AB110" s="75"/>
      <c r="AC110" s="91"/>
      <c r="AD110" s="91"/>
      <c r="AE110" s="91"/>
      <c r="AF110" s="91"/>
      <c r="AG110" s="91"/>
      <c r="AH110" s="75"/>
      <c r="AI110" s="75"/>
      <c r="AJ110" s="75"/>
      <c r="AL110" s="75"/>
      <c r="AM110" s="75"/>
      <c r="AN110" s="75"/>
      <c r="AO110" s="75"/>
    </row>
    <row r="111" spans="1:52" ht="30.6" customHeight="1">
      <c r="A111" s="66"/>
      <c r="F111" s="75"/>
      <c r="G111" s="75">
        <v>2030</v>
      </c>
      <c r="H111" s="75"/>
      <c r="I111" s="75"/>
      <c r="J111" s="75">
        <v>1.05</v>
      </c>
      <c r="K111" s="66"/>
      <c r="L111" s="75"/>
      <c r="M111" s="75"/>
      <c r="N111" s="75"/>
      <c r="O111" s="69">
        <f>AL111+CCS!N$54/1000*7.45</f>
        <v>7.4499999999999993</v>
      </c>
      <c r="P111" s="69">
        <f>O111*CCS!E$59/100</f>
        <v>0.18625</v>
      </c>
      <c r="Q111" s="69">
        <f>AN111+CCS!$N$60/3.6*7.45</f>
        <v>6.0013888888888891</v>
      </c>
      <c r="R111" s="75"/>
      <c r="S111" s="75"/>
      <c r="T111" s="75"/>
      <c r="U111" s="75"/>
      <c r="V111" s="75"/>
      <c r="W111" s="75"/>
      <c r="X111" s="69">
        <f>AW111</f>
        <v>7</v>
      </c>
      <c r="Y111" s="69">
        <f>AX111</f>
        <v>2</v>
      </c>
      <c r="Z111" s="69">
        <f>AY111</f>
        <v>1</v>
      </c>
      <c r="AA111" s="69">
        <f>AZ111</f>
        <v>0.3</v>
      </c>
      <c r="AB111" s="75"/>
      <c r="AC111" s="82">
        <f>-1*PMT($AC$1,U106,O111*1000000)/R106*S106/1000000</f>
        <v>13.609849393809551</v>
      </c>
      <c r="AD111" s="82">
        <f>P111*1000000/R106*S106/1000000</f>
        <v>5.3153538812785381</v>
      </c>
      <c r="AE111" s="91">
        <f>SUMIFS('DMS marginal prices'!$G$8:$G$70,'DMS marginal prices'!$F$8:$F$70,G111,'DMS marginal prices'!$D$8:$D$70,C106)/J111+SUMIFS('DMS marginal prices'!$G$8:$G$70,'DMS marginal prices'!$F$8:$F$70,G112,'DMS marginal prices'!$D$8:$D$70,"SUPELC"*0.7)*I112</f>
        <v>0</v>
      </c>
      <c r="AF111" s="91">
        <f>SUMIFS('DMS marginal prices'!$G$8:$G$70,'DMS marginal prices'!$F$8:$F$70,G111,'DMS marginal prices'!$D$8:$D$70,E106)*-1</f>
        <v>-43.622207164455787</v>
      </c>
      <c r="AG111" s="82">
        <f>SUM(AC111:AF112)*1000/SUM(K108)</f>
        <v>-523.38417615444246</v>
      </c>
      <c r="AH111" s="75"/>
      <c r="AI111" s="75"/>
      <c r="AJ111" s="75"/>
      <c r="AL111" s="75">
        <v>0.37250000000000005</v>
      </c>
      <c r="AM111" s="75">
        <v>1.4154999999999999E-2</v>
      </c>
      <c r="AN111" s="75">
        <v>2.0694444444444446</v>
      </c>
      <c r="AO111" s="75"/>
      <c r="AW111" s="66">
        <v>7</v>
      </c>
      <c r="AX111" s="66">
        <v>2</v>
      </c>
      <c r="AY111" s="66">
        <v>1</v>
      </c>
      <c r="AZ111" s="66">
        <v>0.3</v>
      </c>
    </row>
    <row r="112" spans="1:52" ht="30.6" customHeight="1">
      <c r="A112" s="66"/>
      <c r="D112" s="75" t="s">
        <v>17</v>
      </c>
      <c r="F112" s="75"/>
      <c r="G112" s="75">
        <v>2030</v>
      </c>
      <c r="H112" s="75"/>
      <c r="I112" s="75">
        <f>CCS!V$52</f>
        <v>0.20833333333333334</v>
      </c>
      <c r="J112" s="75"/>
      <c r="K112" s="66"/>
      <c r="L112" s="75"/>
      <c r="M112" s="75"/>
      <c r="N112" s="75"/>
      <c r="O112" s="69"/>
      <c r="P112" s="69"/>
      <c r="Q112" s="69"/>
      <c r="R112" s="75"/>
      <c r="S112" s="75"/>
      <c r="T112" s="75"/>
      <c r="U112" s="75"/>
      <c r="V112" s="75"/>
      <c r="W112" s="75"/>
      <c r="AB112" s="75"/>
      <c r="AC112" s="91"/>
      <c r="AD112" s="91"/>
      <c r="AE112" s="91"/>
      <c r="AF112" s="91"/>
      <c r="AG112" s="91"/>
      <c r="AH112" s="75"/>
      <c r="AI112" s="75"/>
      <c r="AJ112" s="75"/>
      <c r="AL112" s="75"/>
      <c r="AM112" s="75"/>
      <c r="AN112" s="75"/>
      <c r="AO112" s="75"/>
    </row>
    <row r="113" spans="1:52" ht="30.6" customHeight="1">
      <c r="A113" s="66"/>
      <c r="F113" s="75"/>
      <c r="G113" s="75">
        <v>2050</v>
      </c>
      <c r="H113" s="75"/>
      <c r="I113" s="75"/>
      <c r="J113" s="75">
        <v>1.05</v>
      </c>
      <c r="K113" s="66"/>
      <c r="L113" s="75"/>
      <c r="M113" s="75"/>
      <c r="N113" s="75"/>
      <c r="O113" s="69">
        <f>AL113+CCS!P$54/1000*7.45</f>
        <v>7.4499999999999993</v>
      </c>
      <c r="P113" s="69">
        <f>O113*CCS!G$59/100</f>
        <v>0.18625</v>
      </c>
      <c r="Q113" s="69">
        <f>AN113+CCS!$P$60/3.6*7.45</f>
        <v>6.2083333333333339</v>
      </c>
      <c r="R113" s="75"/>
      <c r="S113" s="75"/>
      <c r="T113" s="75"/>
      <c r="U113" s="75"/>
      <c r="V113" s="75"/>
      <c r="W113" s="75"/>
      <c r="X113" s="69">
        <f>AW113</f>
        <v>6</v>
      </c>
      <c r="Y113" s="69">
        <f>AX113</f>
        <v>2</v>
      </c>
      <c r="Z113" s="69">
        <f>AY113</f>
        <v>1</v>
      </c>
      <c r="AA113" s="69">
        <f>AZ113</f>
        <v>0.3</v>
      </c>
      <c r="AB113" s="75"/>
      <c r="AC113" s="82">
        <f>-1*PMT($AC$1,U106,O113*1000000)/R106*S106/1000000</f>
        <v>13.609849393809551</v>
      </c>
      <c r="AD113" s="82">
        <f>P113*1000000/R106*S106/1000000</f>
        <v>5.3153538812785381</v>
      </c>
      <c r="AE113" s="91">
        <f>SUMIFS('DMS marginal prices'!$G$8:$G$70,'DMS marginal prices'!$F$8:$F$70,G113,'DMS marginal prices'!$D$8:$D$70,C106)/J113+SUMIFS('DMS marginal prices'!$G$8:$G$70,'DMS marginal prices'!$F$8:$F$70,G114,'DMS marginal prices'!$D$8:$D$70,"SUPELC"*0.7)*I114</f>
        <v>0</v>
      </c>
      <c r="AF113" s="91">
        <f>SUMIFS('DMS marginal prices'!$G$8:$G$70,'DMS marginal prices'!$F$8:$F$70,G113,'DMS marginal prices'!$D$8:$D$70,E106)*-1</f>
        <v>-31.66441373599169</v>
      </c>
      <c r="AG113" s="82">
        <f>SUM(AC113:AF114)*1000/SUM(K108)</f>
        <v>-269.97206632050256</v>
      </c>
      <c r="AH113" s="75"/>
      <c r="AI113" s="75"/>
      <c r="AJ113" s="75"/>
      <c r="AL113" s="75">
        <v>0.37250000000000005</v>
      </c>
      <c r="AM113" s="75">
        <v>1.2664999999999999E-2</v>
      </c>
      <c r="AN113" s="75">
        <v>2.276388888888889</v>
      </c>
      <c r="AO113" s="75"/>
      <c r="AW113" s="66">
        <v>6</v>
      </c>
      <c r="AX113" s="66">
        <v>2</v>
      </c>
      <c r="AY113" s="66">
        <v>1</v>
      </c>
      <c r="AZ113" s="66">
        <v>0.3</v>
      </c>
    </row>
    <row r="114" spans="1:52" ht="30.6" customHeight="1">
      <c r="A114" s="66"/>
      <c r="D114" s="75" t="s">
        <v>17</v>
      </c>
      <c r="F114" s="75"/>
      <c r="G114" s="75">
        <v>2050</v>
      </c>
      <c r="H114" s="75"/>
      <c r="I114" s="75">
        <f>CCS!W$52</f>
        <v>0.20833333333333334</v>
      </c>
      <c r="J114" s="75"/>
      <c r="K114" s="66"/>
      <c r="L114" s="75"/>
      <c r="M114" s="75"/>
      <c r="N114" s="75"/>
      <c r="O114" s="69"/>
      <c r="P114" s="69"/>
      <c r="Q114" s="69"/>
      <c r="R114" s="75"/>
      <c r="S114" s="75"/>
      <c r="T114" s="75"/>
      <c r="U114" s="75"/>
      <c r="V114" s="75"/>
      <c r="W114" s="75"/>
      <c r="X114" s="75"/>
      <c r="Y114" s="75"/>
      <c r="Z114" s="75"/>
      <c r="AA114" s="75"/>
      <c r="AB114" s="75"/>
      <c r="AC114" s="91"/>
      <c r="AD114" s="91"/>
      <c r="AE114" s="91"/>
      <c r="AF114" s="91"/>
      <c r="AG114" s="91"/>
      <c r="AH114" s="75"/>
      <c r="AI114" s="75"/>
      <c r="AJ114" s="75"/>
      <c r="AL114" s="75"/>
      <c r="AM114" s="75"/>
      <c r="AN114" s="75"/>
      <c r="AO114" s="75"/>
    </row>
    <row r="115" spans="1:52" ht="30.6" customHeight="1">
      <c r="A115" s="75" t="str">
        <f>"EHCCS"&amp;RIGHT(C115,3)&amp;"OXCN1"</f>
        <v>EHCCSWCHOXCN1</v>
      </c>
      <c r="B115" s="75" t="s">
        <v>206</v>
      </c>
      <c r="C115" s="75" t="s">
        <v>183</v>
      </c>
      <c r="E115" s="195" t="s">
        <v>601</v>
      </c>
      <c r="F115" s="76"/>
      <c r="G115" s="75">
        <v>2013</v>
      </c>
      <c r="H115" s="74">
        <v>2025</v>
      </c>
      <c r="I115" s="66"/>
      <c r="J115" s="75">
        <v>1.173</v>
      </c>
      <c r="K115" s="75"/>
      <c r="L115" s="75"/>
      <c r="M115" s="75"/>
      <c r="N115" s="75"/>
      <c r="O115" s="69">
        <f>AL115+CCS!L$114/1000*7.45</f>
        <v>18.625</v>
      </c>
      <c r="P115" s="69">
        <f>O115*CCS!C$119/100</f>
        <v>0.46562500000000001</v>
      </c>
      <c r="Q115" s="69">
        <f>AN115+CCS!$L$120/3.6*7.45</f>
        <v>1.0347222222222221</v>
      </c>
      <c r="R115" s="68">
        <v>3.1536000000000002E-2</v>
      </c>
      <c r="S115" s="68">
        <v>0.9</v>
      </c>
      <c r="T115" s="68">
        <v>1</v>
      </c>
      <c r="U115" s="75">
        <v>20</v>
      </c>
      <c r="V115" s="75">
        <v>1</v>
      </c>
      <c r="W115" s="75"/>
      <c r="X115" s="69">
        <f>AW115</f>
        <v>90</v>
      </c>
      <c r="Y115" s="69">
        <f>AX115</f>
        <v>16</v>
      </c>
      <c r="Z115" s="69">
        <f>AY115</f>
        <v>0.8</v>
      </c>
      <c r="AA115" s="69">
        <f>AZ115</f>
        <v>1.9</v>
      </c>
      <c r="AB115" s="75"/>
      <c r="AC115" s="82">
        <f>-1*PMT($AC$1,U115,O115*1000000)/R115*S115/1000000</f>
        <v>39.111304220054606</v>
      </c>
      <c r="AD115" s="82">
        <f>P115*1000000/R115*S115/1000000</f>
        <v>13.288384703196346</v>
      </c>
      <c r="AE115" s="91">
        <f>SUMIFS('DMS marginal prices'!$G$8:$G$70,'DMS marginal prices'!$F$8:$F$70,G115,'DMS marginal prices'!$D$8:$D$70,C115)/J115+SUMIFS('DMS marginal prices'!$G$8:$G$70,'DMS marginal prices'!$F$8:$F$70,G116,'DMS marginal prices'!$D$8:$D$70,D116)*I116</f>
        <v>0</v>
      </c>
      <c r="AF115" s="91">
        <f>SUMIFS('DMS marginal prices'!$G$8:$G$70,'DMS marginal prices'!$F$8:$F$70,G115,'DMS marginal prices'!$D$8:$D$70,E115)*-1</f>
        <v>0</v>
      </c>
      <c r="AG115" s="82">
        <f>SUM(AC115:AF117)*1000/SUM(K117)</f>
        <v>721.9266514796027</v>
      </c>
      <c r="AH115" s="75"/>
      <c r="AI115" s="75"/>
      <c r="AJ115" s="75"/>
      <c r="AL115" s="75">
        <v>8.1950000000000003</v>
      </c>
      <c r="AM115" s="75">
        <v>0.25330000000000003</v>
      </c>
      <c r="AN115" s="75">
        <v>2.276388888888889</v>
      </c>
      <c r="AO115" s="75"/>
      <c r="AW115" s="66">
        <v>90</v>
      </c>
      <c r="AX115" s="66">
        <v>16</v>
      </c>
      <c r="AY115" s="66">
        <v>0.8</v>
      </c>
      <c r="AZ115" s="66">
        <v>1.9</v>
      </c>
    </row>
    <row r="116" spans="1:52" ht="30.6" customHeight="1">
      <c r="A116" s="66"/>
      <c r="B116" s="66"/>
      <c r="C116" s="66"/>
      <c r="D116" s="75" t="s">
        <v>17</v>
      </c>
      <c r="E116" s="66"/>
      <c r="F116" s="76"/>
      <c r="G116" s="75">
        <v>2013</v>
      </c>
      <c r="I116" s="75">
        <f>CCS!$S$112</f>
        <v>0.2</v>
      </c>
      <c r="J116" s="75"/>
      <c r="K116" s="75"/>
      <c r="L116" s="75"/>
      <c r="M116" s="75"/>
      <c r="N116" s="75"/>
      <c r="R116" s="68"/>
      <c r="S116" s="68"/>
      <c r="T116" s="68"/>
      <c r="U116" s="75"/>
      <c r="V116" s="75"/>
      <c r="W116" s="75"/>
      <c r="X116" s="69"/>
      <c r="Y116" s="69"/>
      <c r="Z116" s="69"/>
      <c r="AA116" s="69"/>
      <c r="AB116" s="75"/>
      <c r="AC116" s="91"/>
      <c r="AD116" s="91"/>
      <c r="AE116" s="91"/>
      <c r="AF116" s="91"/>
      <c r="AG116" s="91"/>
      <c r="AH116" s="75"/>
      <c r="AI116" s="75"/>
      <c r="AJ116" s="75"/>
      <c r="AL116" s="75"/>
      <c r="AM116" s="75"/>
      <c r="AN116" s="75"/>
      <c r="AO116" s="75"/>
    </row>
    <row r="117" spans="1:52" ht="30.6" customHeight="1">
      <c r="A117" s="66"/>
      <c r="B117" s="66"/>
      <c r="C117" s="75"/>
      <c r="D117" s="66"/>
      <c r="E117" s="75"/>
      <c r="F117" s="74" t="str">
        <f>ELC_CCS_Comm!$C$14</f>
        <v>CO2BIOE</v>
      </c>
      <c r="G117" s="74">
        <v>2013</v>
      </c>
      <c r="H117" s="75"/>
      <c r="I117" s="66"/>
      <c r="J117" s="75"/>
      <c r="K117" s="74">
        <f>Emissions!C11*CCS!$C$112/100/J115</f>
        <v>72.583120204603574</v>
      </c>
      <c r="L117" s="75"/>
      <c r="M117" s="75"/>
      <c r="N117" s="75"/>
      <c r="R117" s="75"/>
      <c r="S117" s="75"/>
      <c r="T117" s="75"/>
      <c r="U117" s="75"/>
      <c r="V117" s="75"/>
      <c r="W117" s="75"/>
      <c r="X117" s="69"/>
      <c r="Y117" s="69"/>
      <c r="Z117" s="69"/>
      <c r="AA117" s="69"/>
      <c r="AB117" s="75"/>
      <c r="AC117" s="82"/>
      <c r="AD117" s="82"/>
      <c r="AE117" s="91"/>
      <c r="AF117" s="91"/>
      <c r="AG117" s="82"/>
      <c r="AH117" s="75"/>
      <c r="AI117" s="75"/>
      <c r="AJ117" s="75"/>
      <c r="AL117" s="75"/>
      <c r="AM117" s="75"/>
      <c r="AN117" s="75"/>
      <c r="AO117" s="75"/>
    </row>
    <row r="118" spans="1:52" ht="30.6" customHeight="1">
      <c r="A118" s="66"/>
      <c r="B118" s="66"/>
      <c r="C118" s="75"/>
      <c r="E118" s="75"/>
      <c r="F118" s="76"/>
      <c r="G118" s="75">
        <v>2020</v>
      </c>
      <c r="H118" s="75"/>
      <c r="I118" s="75"/>
      <c r="J118" s="75">
        <v>1.173</v>
      </c>
      <c r="K118" s="66"/>
      <c r="L118" s="75"/>
      <c r="M118" s="75"/>
      <c r="N118" s="75"/>
      <c r="O118" s="69">
        <f>AL118+CCS!M$114/1000*7.45</f>
        <v>15.645</v>
      </c>
      <c r="P118" s="69">
        <f>O118*CCS!D$119/100</f>
        <v>0.39112499999999994</v>
      </c>
      <c r="Q118" s="69">
        <f>AN118+CCS!$M$120/3.6*7.45</f>
        <v>1.0347222222222221</v>
      </c>
      <c r="R118" s="75"/>
      <c r="S118" s="75"/>
      <c r="T118" s="75"/>
      <c r="U118" s="75"/>
      <c r="V118" s="75"/>
      <c r="W118" s="75"/>
      <c r="X118" s="69">
        <f>AW118</f>
        <v>60</v>
      </c>
      <c r="Y118" s="69">
        <f>AX118</f>
        <v>11</v>
      </c>
      <c r="Z118" s="69">
        <f>AY118</f>
        <v>0.3</v>
      </c>
      <c r="AA118" s="69">
        <f>AZ118</f>
        <v>1.9</v>
      </c>
      <c r="AB118" s="75"/>
      <c r="AC118" s="82">
        <f>-1*PMT($AC$1,U115,O118*1000000)/R115*S115/1000000</f>
        <v>32.853495544845856</v>
      </c>
      <c r="AD118" s="82">
        <f>P118*1000000/R115*S115/1000000</f>
        <v>11.16224315068493</v>
      </c>
      <c r="AE118" s="91">
        <f>SUMIFS('DMS marginal prices'!$G$8:$G$70,'DMS marginal prices'!$F$8:$F$70,G118,'DMS marginal prices'!$D$8:$D$70,C115)/J118+SUMIFS('DMS marginal prices'!$G$8:$G$70,'DMS marginal prices'!$F$8:$F$70,G119,'DMS marginal prices'!$D$8:$D$70,"SUPELC"*0.7)*I119</f>
        <v>54.756111928006909</v>
      </c>
      <c r="AF118" s="91">
        <f>-1*(SUMIFS('DMS marginal prices'!$G$8:$G$70,'DMS marginal prices'!$F$8:$F$70,G118,'DMS marginal prices'!$D$8:$D$70,E115))</f>
        <v>-52.241908895167256</v>
      </c>
      <c r="AG118" s="82">
        <f>SUM(AC118:AF119)*1000/SUM(K117)</f>
        <v>641.05733670869768</v>
      </c>
      <c r="AH118" s="75"/>
      <c r="AI118" s="75"/>
      <c r="AJ118" s="75"/>
      <c r="AL118" s="75">
        <v>7.45</v>
      </c>
      <c r="AM118" s="75">
        <v>0.24585000000000001</v>
      </c>
      <c r="AN118" s="75">
        <v>2.276388888888889</v>
      </c>
      <c r="AO118" s="75"/>
      <c r="AW118" s="66">
        <v>60</v>
      </c>
      <c r="AX118" s="66">
        <v>11</v>
      </c>
      <c r="AY118" s="66">
        <v>0.3</v>
      </c>
      <c r="AZ118" s="66">
        <v>1.9</v>
      </c>
    </row>
    <row r="119" spans="1:52" ht="30.6" customHeight="1">
      <c r="A119" s="66"/>
      <c r="B119" s="66"/>
      <c r="C119" s="75"/>
      <c r="D119" s="75" t="s">
        <v>17</v>
      </c>
      <c r="E119" s="75"/>
      <c r="F119" s="76"/>
      <c r="G119" s="75">
        <v>2020</v>
      </c>
      <c r="H119" s="75"/>
      <c r="I119" s="75">
        <f>CCS!T$112</f>
        <v>0.19565217391304349</v>
      </c>
      <c r="J119" s="75"/>
      <c r="K119" s="66"/>
      <c r="L119" s="75"/>
      <c r="M119" s="75"/>
      <c r="N119" s="75"/>
      <c r="O119" s="69"/>
      <c r="P119" s="69"/>
      <c r="Q119" s="69"/>
      <c r="R119" s="75"/>
      <c r="S119" s="75"/>
      <c r="T119" s="75"/>
      <c r="U119" s="75"/>
      <c r="V119" s="75"/>
      <c r="W119" s="75"/>
      <c r="AB119" s="75"/>
      <c r="AC119" s="91"/>
      <c r="AD119" s="91"/>
      <c r="AE119" s="91"/>
      <c r="AF119" s="91"/>
      <c r="AG119" s="91"/>
      <c r="AH119" s="75"/>
      <c r="AI119" s="75"/>
      <c r="AJ119" s="75"/>
      <c r="AL119" s="75"/>
      <c r="AM119" s="75"/>
      <c r="AN119" s="75"/>
      <c r="AO119" s="75"/>
    </row>
    <row r="120" spans="1:52" ht="30.6" customHeight="1">
      <c r="A120" s="66"/>
      <c r="B120" s="66"/>
      <c r="C120" s="75"/>
      <c r="E120" s="75"/>
      <c r="F120" s="75"/>
      <c r="G120" s="75">
        <v>2030</v>
      </c>
      <c r="H120" s="75"/>
      <c r="I120" s="75"/>
      <c r="J120" s="75">
        <v>1.173</v>
      </c>
      <c r="K120" s="66"/>
      <c r="L120" s="75"/>
      <c r="M120" s="75"/>
      <c r="N120" s="75"/>
      <c r="O120" s="69">
        <f>AL120+CCS!N$114/1000*7.45</f>
        <v>14.5275</v>
      </c>
      <c r="P120" s="69">
        <f>O120*CCS!E$119/100</f>
        <v>0.3631875</v>
      </c>
      <c r="Q120" s="69">
        <f>AN120+CCS!$N$120/3.6*7.45</f>
        <v>1.0347222222222221</v>
      </c>
      <c r="R120" s="75"/>
      <c r="S120" s="75"/>
      <c r="T120" s="75"/>
      <c r="U120" s="75"/>
      <c r="V120" s="75"/>
      <c r="W120" s="75"/>
      <c r="X120" s="69">
        <f>AW120</f>
        <v>50</v>
      </c>
      <c r="Y120" s="69">
        <f>AX120</f>
        <v>8</v>
      </c>
      <c r="Z120" s="69">
        <f>AY120</f>
        <v>0.3</v>
      </c>
      <c r="AA120" s="69">
        <f>AZ120</f>
        <v>1.9</v>
      </c>
      <c r="AB120" s="75"/>
      <c r="AC120" s="82">
        <f>-1*PMT($AC$1,U115,O120*1000000)/R115*S115/1000000</f>
        <v>30.506817291642584</v>
      </c>
      <c r="AD120" s="82">
        <f>P120*1000000/R115*S115/1000000</f>
        <v>10.364940068493151</v>
      </c>
      <c r="AE120" s="91">
        <f>SUMIFS('DMS marginal prices'!$G$8:$G$70,'DMS marginal prices'!$F$8:$F$70,G120,'DMS marginal prices'!$D$8:$D$70,C115)/J120+SUMIFS('DMS marginal prices'!$G$8:$G$70,'DMS marginal prices'!$F$8:$F$70,G121,'DMS marginal prices'!$D$8:$D$70,"SUPELC"*0.7)*I121</f>
        <v>83.621623865024802</v>
      </c>
      <c r="AF120" s="91">
        <f>SUMIFS('DMS marginal prices'!$G$8:$G$70,'DMS marginal prices'!$F$8:$F$70,G120,'DMS marginal prices'!$D$8:$D$70,E115)*-1</f>
        <v>-43.622207164455787</v>
      </c>
      <c r="AG120" s="82">
        <f>SUM(AC120:AF121)*1000/SUM(K117)</f>
        <v>1114.1870703923735</v>
      </c>
      <c r="AH120" s="75"/>
      <c r="AI120" s="75"/>
      <c r="AJ120" s="75"/>
      <c r="AL120" s="75">
        <v>7.45</v>
      </c>
      <c r="AM120" s="75">
        <v>0.2384</v>
      </c>
      <c r="AN120" s="75">
        <v>2.276388888888889</v>
      </c>
      <c r="AO120" s="75"/>
      <c r="AW120" s="66">
        <v>50</v>
      </c>
      <c r="AX120" s="66">
        <v>8</v>
      </c>
      <c r="AY120" s="66">
        <v>0.3</v>
      </c>
      <c r="AZ120" s="66">
        <v>1.9</v>
      </c>
    </row>
    <row r="121" spans="1:52" ht="30.6" customHeight="1">
      <c r="A121" s="66"/>
      <c r="B121" s="66"/>
      <c r="C121" s="75"/>
      <c r="D121" s="75" t="s">
        <v>17</v>
      </c>
      <c r="E121" s="75"/>
      <c r="F121" s="75"/>
      <c r="G121" s="75">
        <v>2030</v>
      </c>
      <c r="H121" s="75"/>
      <c r="I121" s="75">
        <f>CCS!V$112</f>
        <v>0.1875</v>
      </c>
      <c r="J121" s="75"/>
      <c r="K121" s="66"/>
      <c r="L121" s="75"/>
      <c r="M121" s="75"/>
      <c r="N121" s="75"/>
      <c r="O121" s="69"/>
      <c r="P121" s="69"/>
      <c r="Q121" s="69"/>
      <c r="R121" s="75"/>
      <c r="S121" s="75"/>
      <c r="T121" s="75"/>
      <c r="U121" s="75"/>
      <c r="V121" s="75"/>
      <c r="W121" s="75"/>
      <c r="AB121" s="75"/>
      <c r="AC121" s="91"/>
      <c r="AD121" s="91"/>
      <c r="AE121" s="91"/>
      <c r="AF121" s="91"/>
      <c r="AG121" s="91"/>
      <c r="AH121" s="75"/>
      <c r="AI121" s="75"/>
      <c r="AJ121" s="75"/>
      <c r="AL121" s="75"/>
      <c r="AM121" s="75"/>
      <c r="AN121" s="75"/>
      <c r="AO121" s="75"/>
    </row>
    <row r="122" spans="1:52" ht="30.6" customHeight="1">
      <c r="A122" s="66"/>
      <c r="B122" s="66"/>
      <c r="C122" s="75"/>
      <c r="E122" s="75"/>
      <c r="F122" s="75"/>
      <c r="G122" s="75">
        <v>2050</v>
      </c>
      <c r="H122" s="75"/>
      <c r="I122" s="75"/>
      <c r="J122" s="75">
        <v>1.173</v>
      </c>
      <c r="K122" s="66"/>
      <c r="L122" s="75"/>
      <c r="M122" s="75"/>
      <c r="N122" s="75"/>
      <c r="O122" s="69">
        <f>AL122+CCS!P$114/1000*7.45</f>
        <v>13.782499999999999</v>
      </c>
      <c r="P122" s="69">
        <f>O122*CCS!G$119/100</f>
        <v>0.34456249999999999</v>
      </c>
      <c r="Q122" s="69">
        <f>AN122+CCS!$P$120/3.6*7.45</f>
        <v>1.0347222222222221</v>
      </c>
      <c r="R122" s="75"/>
      <c r="S122" s="75"/>
      <c r="T122" s="75"/>
      <c r="U122" s="75"/>
      <c r="V122" s="75"/>
      <c r="W122" s="75"/>
      <c r="X122" s="69">
        <f>AW122</f>
        <v>40</v>
      </c>
      <c r="Y122" s="69">
        <f>AX122</f>
        <v>4</v>
      </c>
      <c r="Z122" s="69">
        <f>AY122</f>
        <v>0.3</v>
      </c>
      <c r="AA122" s="69">
        <f>AZ122</f>
        <v>1.9</v>
      </c>
      <c r="AB122" s="75"/>
      <c r="AC122" s="82">
        <f>-1*PMT($AC$1,U115,O122*1000000)/R115*S115/1000000</f>
        <v>28.942365122840396</v>
      </c>
      <c r="AD122" s="82">
        <f>P122*1000000/R115*S115/1000000</f>
        <v>9.8334046803652964</v>
      </c>
      <c r="AE122" s="91">
        <f>SUMIFS('DMS marginal prices'!$G$8:$G$70,'DMS marginal prices'!$F$8:$F$70,G122,'DMS marginal prices'!$D$8:$D$70,C115)/J122+SUMIFS('DMS marginal prices'!$G$8:$G$70,'DMS marginal prices'!$F$8:$F$70,G123,'DMS marginal prices'!$D$8:$D$70,"SUPELC"*0.7)*I123</f>
        <v>85.56766909781706</v>
      </c>
      <c r="AF122" s="91">
        <f>SUMIFS('DMS marginal prices'!$G$8:$G$70,'DMS marginal prices'!$F$8:$F$70,G122,'DMS marginal prices'!$D$8:$D$70,E115)*-1</f>
        <v>-31.66441373599169</v>
      </c>
      <c r="AG122" s="82">
        <f>SUM(AC122:AF123)*1000/SUM(K117)</f>
        <v>1276.8674714421124</v>
      </c>
      <c r="AH122" s="75"/>
      <c r="AI122" s="75"/>
      <c r="AJ122" s="75"/>
      <c r="AL122" s="75">
        <v>6.7050000000000001</v>
      </c>
      <c r="AM122" s="75">
        <v>0.2235</v>
      </c>
      <c r="AN122" s="75">
        <v>2.276388888888889</v>
      </c>
      <c r="AO122" s="75"/>
      <c r="AW122" s="66">
        <v>40</v>
      </c>
      <c r="AX122" s="66">
        <v>4</v>
      </c>
      <c r="AY122" s="66">
        <v>0.3</v>
      </c>
      <c r="AZ122" s="66">
        <v>1.9</v>
      </c>
    </row>
    <row r="123" spans="1:52" ht="30.6" customHeight="1">
      <c r="A123" s="66"/>
      <c r="B123" s="66"/>
      <c r="C123" s="75"/>
      <c r="D123" s="75" t="s">
        <v>17</v>
      </c>
      <c r="E123" s="75"/>
      <c r="F123" s="75"/>
      <c r="G123" s="75">
        <v>2050</v>
      </c>
      <c r="H123" s="75"/>
      <c r="I123" s="75">
        <f>CCS!W$112</f>
        <v>0.1875</v>
      </c>
      <c r="J123" s="75"/>
      <c r="K123" s="66"/>
      <c r="L123" s="75"/>
      <c r="M123" s="75"/>
      <c r="N123" s="75"/>
      <c r="O123" s="69"/>
      <c r="P123" s="69"/>
      <c r="Q123" s="69"/>
      <c r="R123" s="75"/>
      <c r="S123" s="75"/>
      <c r="T123" s="75"/>
      <c r="U123" s="75"/>
      <c r="V123" s="75"/>
      <c r="W123" s="75"/>
      <c r="X123" s="75"/>
      <c r="Y123" s="75"/>
      <c r="Z123" s="75"/>
      <c r="AA123" s="75"/>
      <c r="AB123" s="75"/>
      <c r="AC123" s="91"/>
      <c r="AD123" s="91"/>
      <c r="AE123" s="91"/>
      <c r="AF123" s="91"/>
      <c r="AG123" s="91"/>
      <c r="AH123" s="75"/>
      <c r="AI123" s="75"/>
      <c r="AJ123" s="75"/>
      <c r="AL123" s="75"/>
      <c r="AM123" s="75"/>
      <c r="AN123" s="75"/>
      <c r="AO123" s="75"/>
    </row>
    <row r="124" spans="1:52" ht="30.6" customHeight="1">
      <c r="A124" s="75" t="str">
        <f>"EHCCS"&amp;RIGHT(C124,3)&amp;"OXCN1"</f>
        <v>EHCCSSTROXCN1</v>
      </c>
      <c r="B124" s="75" t="s">
        <v>207</v>
      </c>
      <c r="C124" s="75" t="s">
        <v>23</v>
      </c>
      <c r="D124" s="75"/>
      <c r="E124" s="195" t="s">
        <v>601</v>
      </c>
      <c r="F124" s="76"/>
      <c r="G124" s="75">
        <v>2013</v>
      </c>
      <c r="H124" s="74">
        <v>2025</v>
      </c>
      <c r="I124" s="66"/>
      <c r="J124" s="75">
        <v>1.044</v>
      </c>
      <c r="K124" s="75"/>
      <c r="L124" s="75"/>
      <c r="M124" s="75"/>
      <c r="N124" s="75"/>
      <c r="O124" s="69">
        <f>AL124+CCS!L$114/1000*7.45</f>
        <v>15.645</v>
      </c>
      <c r="P124" s="69">
        <f>O124*CCS!C$119/100</f>
        <v>0.39112499999999994</v>
      </c>
      <c r="Q124" s="69">
        <f>AN124+CCS!$L$120/3.6*7.45</f>
        <v>0.82777777777777772</v>
      </c>
      <c r="R124" s="68">
        <v>3.1536000000000002E-2</v>
      </c>
      <c r="S124" s="68">
        <v>0.9</v>
      </c>
      <c r="T124" s="68">
        <v>1</v>
      </c>
      <c r="U124" s="75">
        <v>25</v>
      </c>
      <c r="V124" s="75">
        <v>1</v>
      </c>
      <c r="W124" s="75"/>
      <c r="X124" s="69">
        <f>AW124</f>
        <v>90</v>
      </c>
      <c r="Y124" s="69">
        <f>AX124</f>
        <v>16</v>
      </c>
      <c r="Z124" s="69">
        <f>AY124</f>
        <v>4</v>
      </c>
      <c r="AA124" s="69">
        <f>AZ124</f>
        <v>49</v>
      </c>
      <c r="AB124" s="75"/>
      <c r="AC124" s="82">
        <f>-1*PMT($AC$1,U124,O124*1000000)/R124*S124/1000000</f>
        <v>28.580683727000064</v>
      </c>
      <c r="AD124" s="82">
        <f>P124*1000000/R124*S124/1000000</f>
        <v>11.16224315068493</v>
      </c>
      <c r="AE124" s="91">
        <f>SUMIFS('DMS marginal prices'!$G$8:$G$70,'DMS marginal prices'!$F$8:$F$70,G124,'DMS marginal prices'!$D$8:$D$70,C124)/J124+SUMIFS('DMS marginal prices'!$G$8:$G$70,'DMS marginal prices'!$F$8:$F$70,G125,'DMS marginal prices'!$D$8:$D$70,D125)*I125</f>
        <v>0</v>
      </c>
      <c r="AF124" s="91">
        <f>SUMIFS('DMS marginal prices'!$G$8:$G$70,'DMS marginal prices'!$F$8:$F$70,G124,'DMS marginal prices'!$D$8:$D$70,E124)*-1</f>
        <v>0</v>
      </c>
      <c r="AG124" s="82">
        <f>SUM(AC124:AF126)*1000/SUM(K126)</f>
        <v>487.33398708366377</v>
      </c>
      <c r="AH124" s="75"/>
      <c r="AI124" s="75"/>
      <c r="AJ124" s="75"/>
      <c r="AL124" s="75">
        <v>5.2149999999999999</v>
      </c>
      <c r="AM124" s="75">
        <v>0.29799999999999999</v>
      </c>
      <c r="AN124" s="75">
        <v>2.0694444444444446</v>
      </c>
      <c r="AO124" s="75"/>
      <c r="AW124" s="66">
        <v>90</v>
      </c>
      <c r="AX124" s="66">
        <v>16</v>
      </c>
      <c r="AY124" s="66">
        <v>4</v>
      </c>
      <c r="AZ124" s="66">
        <v>49</v>
      </c>
    </row>
    <row r="125" spans="1:52" ht="30.6" customHeight="1">
      <c r="A125" s="66"/>
      <c r="B125" s="66"/>
      <c r="C125" s="66"/>
      <c r="D125" s="75" t="s">
        <v>17</v>
      </c>
      <c r="E125" s="66"/>
      <c r="F125" s="76"/>
      <c r="G125" s="75">
        <v>2013</v>
      </c>
      <c r="I125" s="75">
        <f>CCS!$S$112</f>
        <v>0.2</v>
      </c>
      <c r="J125" s="75"/>
      <c r="K125" s="75"/>
      <c r="L125" s="75"/>
      <c r="M125" s="75"/>
      <c r="N125" s="75"/>
      <c r="R125" s="68"/>
      <c r="S125" s="68"/>
      <c r="T125" s="68"/>
      <c r="U125" s="75"/>
      <c r="V125" s="75"/>
      <c r="W125" s="75"/>
      <c r="X125" s="69"/>
      <c r="Y125" s="69"/>
      <c r="Z125" s="69"/>
      <c r="AA125" s="69"/>
      <c r="AB125" s="75"/>
      <c r="AC125" s="91"/>
      <c r="AD125" s="91"/>
      <c r="AE125" s="91"/>
      <c r="AF125" s="91"/>
      <c r="AG125" s="91"/>
      <c r="AH125" s="75"/>
      <c r="AI125" s="75"/>
      <c r="AJ125" s="75"/>
      <c r="AL125" s="75"/>
      <c r="AM125" s="75"/>
      <c r="AN125" s="75"/>
      <c r="AO125" s="75"/>
    </row>
    <row r="126" spans="1:52" ht="30.6" customHeight="1">
      <c r="A126" s="66"/>
      <c r="B126" s="66"/>
      <c r="C126" s="66"/>
      <c r="D126" s="66"/>
      <c r="E126" s="66"/>
      <c r="F126" s="74" t="str">
        <f>ELC_CCS_Comm!$C$14</f>
        <v>CO2BIOE</v>
      </c>
      <c r="G126" s="74">
        <v>2013</v>
      </c>
      <c r="H126" s="75"/>
      <c r="I126" s="66"/>
      <c r="J126" s="75"/>
      <c r="K126" s="74">
        <f>Emissions!C11*CCS!$C$112/100/J124</f>
        <v>81.551724137931032</v>
      </c>
      <c r="L126" s="75"/>
      <c r="M126" s="75"/>
      <c r="N126" s="75"/>
      <c r="R126" s="75"/>
      <c r="S126" s="75"/>
      <c r="T126" s="75"/>
      <c r="U126" s="75"/>
      <c r="V126" s="75"/>
      <c r="W126" s="75"/>
      <c r="X126" s="69"/>
      <c r="Y126" s="69"/>
      <c r="Z126" s="69"/>
      <c r="AA126" s="69"/>
      <c r="AB126" s="75"/>
      <c r="AC126" s="82"/>
      <c r="AD126" s="82"/>
      <c r="AE126" s="91"/>
      <c r="AF126" s="91"/>
      <c r="AG126" s="82"/>
      <c r="AH126" s="75"/>
      <c r="AI126" s="75"/>
      <c r="AJ126" s="75"/>
      <c r="AL126" s="75"/>
      <c r="AM126" s="75"/>
      <c r="AN126" s="75"/>
      <c r="AO126" s="75"/>
    </row>
    <row r="127" spans="1:52" ht="30.6" customHeight="1">
      <c r="A127" s="66"/>
      <c r="B127" s="66"/>
      <c r="C127" s="66"/>
      <c r="E127" s="66"/>
      <c r="F127" s="76"/>
      <c r="G127" s="75">
        <v>2020</v>
      </c>
      <c r="H127" s="75"/>
      <c r="I127" s="75"/>
      <c r="J127" s="75">
        <v>1.08</v>
      </c>
      <c r="K127" s="66"/>
      <c r="L127" s="75"/>
      <c r="M127" s="75"/>
      <c r="N127" s="75"/>
      <c r="O127" s="69">
        <f>AL127+CCS!M$114/1000*7.45</f>
        <v>13.41</v>
      </c>
      <c r="P127" s="69">
        <f>O127*CCS!D$119/100</f>
        <v>0.33524999999999999</v>
      </c>
      <c r="Q127" s="69">
        <f>AN127+CCS!$M$120/3.6*7.45</f>
        <v>0.82777777777777772</v>
      </c>
      <c r="R127" s="75"/>
      <c r="S127" s="75"/>
      <c r="T127" s="75"/>
      <c r="U127" s="75"/>
      <c r="V127" s="75"/>
      <c r="W127" s="75"/>
      <c r="X127" s="69">
        <f>AW127</f>
        <v>70</v>
      </c>
      <c r="Y127" s="69">
        <f>AX127</f>
        <v>11</v>
      </c>
      <c r="Z127" s="69">
        <f>AY127</f>
        <v>3</v>
      </c>
      <c r="AA127" s="69">
        <f>AZ127</f>
        <v>49</v>
      </c>
      <c r="AB127" s="75"/>
      <c r="AC127" s="82">
        <f>-1*PMT($AC$1,U124,O127*1000000)/R124*S124/1000000</f>
        <v>24.497728908857201</v>
      </c>
      <c r="AD127" s="82">
        <f>P127*1000000/R124*S124/1000000</f>
        <v>9.5676369863013679</v>
      </c>
      <c r="AE127" s="91">
        <f>SUMIFS('DMS marginal prices'!$G$8:$G$70,'DMS marginal prices'!$F$8:$F$70,G127,'DMS marginal prices'!$D$8:$D$70,C124)/J127+SUMIFS('DMS marginal prices'!$G$8:$G$70,'DMS marginal prices'!$F$8:$F$70,G128,'DMS marginal prices'!$D$8:$D$70,"SUPELC"*0.7)*I128</f>
        <v>72.57618076998925</v>
      </c>
      <c r="AF127" s="91">
        <f>-1*(SUMIFS('DMS marginal prices'!$G$8:$G$70,'DMS marginal prices'!$F$8:$F$70,G127,'DMS marginal prices'!$D$8:$D$70,E124))</f>
        <v>-52.241908895167256</v>
      </c>
      <c r="AG127" s="82">
        <f>SUM(AC127:AF128)*1000/SUM(K126)</f>
        <v>667.05686906107246</v>
      </c>
      <c r="AH127" s="75"/>
      <c r="AI127" s="75"/>
      <c r="AJ127" s="75"/>
      <c r="AL127" s="75">
        <v>5.2149999999999999</v>
      </c>
      <c r="AM127" s="75">
        <v>0.29054999999999997</v>
      </c>
      <c r="AN127" s="75">
        <v>2.0694444444444446</v>
      </c>
      <c r="AO127" s="75"/>
      <c r="AW127" s="66">
        <v>70</v>
      </c>
      <c r="AX127" s="66">
        <v>11</v>
      </c>
      <c r="AY127" s="66">
        <v>3</v>
      </c>
      <c r="AZ127" s="66">
        <v>49</v>
      </c>
    </row>
    <row r="128" spans="1:52" ht="30.6" customHeight="1">
      <c r="A128" s="66"/>
      <c r="B128" s="66"/>
      <c r="C128" s="66"/>
      <c r="D128" s="75" t="s">
        <v>17</v>
      </c>
      <c r="E128" s="66"/>
      <c r="F128" s="76"/>
      <c r="G128" s="75">
        <v>2020</v>
      </c>
      <c r="H128" s="75"/>
      <c r="I128" s="75">
        <f>CCS!T$112</f>
        <v>0.19565217391304349</v>
      </c>
      <c r="J128" s="75"/>
      <c r="K128" s="66"/>
      <c r="L128" s="75"/>
      <c r="M128" s="75"/>
      <c r="N128" s="75"/>
      <c r="O128" s="69"/>
      <c r="P128" s="69"/>
      <c r="Q128" s="69"/>
      <c r="R128" s="75"/>
      <c r="S128" s="75"/>
      <c r="T128" s="75"/>
      <c r="U128" s="75"/>
      <c r="V128" s="75"/>
      <c r="W128" s="75"/>
      <c r="AB128" s="75"/>
      <c r="AC128" s="91"/>
      <c r="AD128" s="91"/>
      <c r="AE128" s="91"/>
      <c r="AF128" s="91"/>
      <c r="AG128" s="91"/>
      <c r="AH128" s="75"/>
      <c r="AI128" s="75"/>
      <c r="AJ128" s="75"/>
      <c r="AL128" s="75"/>
      <c r="AM128" s="75"/>
      <c r="AN128" s="75"/>
      <c r="AO128" s="75"/>
    </row>
    <row r="129" spans="1:52" ht="30.6" customHeight="1">
      <c r="C129" s="66"/>
      <c r="E129" s="66"/>
      <c r="F129" s="75"/>
      <c r="G129" s="75">
        <v>2030</v>
      </c>
      <c r="H129" s="75"/>
      <c r="I129" s="75"/>
      <c r="J129" s="75">
        <v>1.08</v>
      </c>
      <c r="K129" s="66"/>
      <c r="L129" s="75"/>
      <c r="M129" s="75"/>
      <c r="N129" s="75"/>
      <c r="O129" s="69">
        <f>AL129+CCS!N$114/1000*7.45</f>
        <v>11.547499999999999</v>
      </c>
      <c r="P129" s="69">
        <f>O129*CCS!E$119/100</f>
        <v>0.28868749999999999</v>
      </c>
      <c r="Q129" s="69">
        <f>AN129+CCS!$N$120/3.6*7.45</f>
        <v>0.82777777777777772</v>
      </c>
      <c r="R129" s="75"/>
      <c r="S129" s="75"/>
      <c r="T129" s="75"/>
      <c r="U129" s="75"/>
      <c r="V129" s="75"/>
      <c r="W129" s="75"/>
      <c r="X129" s="69">
        <f>AW129</f>
        <v>50</v>
      </c>
      <c r="Y129" s="69">
        <f>AX129</f>
        <v>8</v>
      </c>
      <c r="Z129" s="69">
        <f>AY129</f>
        <v>2</v>
      </c>
      <c r="AA129" s="69">
        <f>AZ129</f>
        <v>49</v>
      </c>
      <c r="AC129" s="82">
        <f>-1*PMT($AC$1,U124,O129*1000000)/R124*S124/1000000</f>
        <v>21.095266560404809</v>
      </c>
      <c r="AD129" s="82">
        <f>P129*1000000/R124*S124/1000000</f>
        <v>8.2387985159817347</v>
      </c>
      <c r="AE129" s="91">
        <f>SUMIFS('DMS marginal prices'!$G$8:$G$70,'DMS marginal prices'!$F$8:$F$70,G129,'DMS marginal prices'!$D$8:$D$70,C124)/J129+SUMIFS('DMS marginal prices'!$G$8:$G$70,'DMS marginal prices'!$F$8:$F$70,G130,'DMS marginal prices'!$D$8:$D$70,"SUPELC"*0.7)*I130</f>
        <v>78.406849854700184</v>
      </c>
      <c r="AF129" s="91">
        <f>SUMIFS('DMS marginal prices'!$G$8:$G$70,'DMS marginal prices'!$F$8:$F$70,G129,'DMS marginal prices'!$D$8:$D$70,E124)*-1</f>
        <v>-43.622207164455787</v>
      </c>
      <c r="AG129" s="82">
        <f>SUM(AC129:AF130)*1000/SUM(K126)</f>
        <v>786.23362589103488</v>
      </c>
      <c r="AL129" s="75">
        <v>4.47</v>
      </c>
      <c r="AM129" s="75">
        <v>0.26819999999999999</v>
      </c>
      <c r="AN129" s="75">
        <v>2.0694444444444446</v>
      </c>
      <c r="AO129" s="75"/>
      <c r="AW129" s="66">
        <v>50</v>
      </c>
      <c r="AX129" s="66">
        <v>8</v>
      </c>
      <c r="AY129" s="66">
        <v>2</v>
      </c>
      <c r="AZ129" s="66">
        <v>49</v>
      </c>
    </row>
    <row r="130" spans="1:52" ht="30.6" customHeight="1">
      <c r="C130" s="66"/>
      <c r="D130" s="75" t="s">
        <v>17</v>
      </c>
      <c r="E130" s="66"/>
      <c r="F130" s="75"/>
      <c r="G130" s="75">
        <v>2030</v>
      </c>
      <c r="H130" s="75"/>
      <c r="I130" s="75">
        <f>CCS!V$112</f>
        <v>0.1875</v>
      </c>
      <c r="J130" s="75"/>
      <c r="K130" s="66"/>
      <c r="L130" s="75"/>
      <c r="M130" s="75"/>
      <c r="N130" s="75"/>
      <c r="O130" s="69"/>
      <c r="P130" s="69"/>
      <c r="Q130" s="69"/>
      <c r="R130" s="75"/>
      <c r="S130" s="75"/>
      <c r="T130" s="75"/>
      <c r="U130" s="75"/>
      <c r="V130" s="75"/>
      <c r="W130" s="75"/>
      <c r="AC130" s="91"/>
      <c r="AD130" s="91"/>
      <c r="AE130" s="91"/>
      <c r="AF130" s="91"/>
      <c r="AG130" s="91"/>
      <c r="AL130" s="75"/>
      <c r="AM130" s="75"/>
      <c r="AN130" s="75"/>
      <c r="AO130" s="75"/>
    </row>
    <row r="131" spans="1:52" ht="30.6" customHeight="1">
      <c r="A131" s="66"/>
      <c r="B131" s="66"/>
      <c r="C131" s="66"/>
      <c r="E131" s="66"/>
      <c r="F131" s="75"/>
      <c r="G131" s="75">
        <v>2050</v>
      </c>
      <c r="H131" s="75"/>
      <c r="I131" s="75"/>
      <c r="J131" s="75">
        <v>1.024</v>
      </c>
      <c r="K131" s="66"/>
      <c r="L131" s="75"/>
      <c r="M131" s="75"/>
      <c r="N131" s="75"/>
      <c r="O131" s="69">
        <f>AL131+CCS!P$114/1000*7.45</f>
        <v>11.547499999999999</v>
      </c>
      <c r="P131" s="69">
        <f>O131*CCS!G$119/100</f>
        <v>0.28868749999999999</v>
      </c>
      <c r="Q131" s="69">
        <f>AN131+CCS!$P$120/3.6*7.45</f>
        <v>0.82777777777777772</v>
      </c>
      <c r="R131" s="75"/>
      <c r="S131" s="75"/>
      <c r="T131" s="75"/>
      <c r="U131" s="75"/>
      <c r="V131" s="75"/>
      <c r="W131" s="75"/>
      <c r="X131" s="69">
        <f>AW131</f>
        <v>40</v>
      </c>
      <c r="Y131" s="69">
        <f>AX131</f>
        <v>4</v>
      </c>
      <c r="Z131" s="69">
        <f>AY131</f>
        <v>1</v>
      </c>
      <c r="AA131" s="69">
        <f>AZ131</f>
        <v>49</v>
      </c>
      <c r="AC131" s="82">
        <f>-1*PMT($AC$1,U124,O131*1000000)/R124*S124/1000000</f>
        <v>21.095266560404809</v>
      </c>
      <c r="AD131" s="82">
        <f>P131*1000000/R124*S124/1000000</f>
        <v>8.2387985159817347</v>
      </c>
      <c r="AE131" s="91">
        <f>SUMIFS('DMS marginal prices'!$G$8:$G$70,'DMS marginal prices'!$F$8:$F$70,G131,'DMS marginal prices'!$D$8:$D$70,C124)/J131+SUMIFS('DMS marginal prices'!$G$8:$G$70,'DMS marginal prices'!$F$8:$F$70,G132,'DMS marginal prices'!$D$8:$D$70,"SUPELC"*0.7)*I132</f>
        <v>93.844347082392474</v>
      </c>
      <c r="AF131" s="91">
        <f>SUMIFS('DMS marginal prices'!$G$8:$G$70,'DMS marginal prices'!$F$8:$F$70,G131,'DMS marginal prices'!$D$8:$D$70,E124)*-1</f>
        <v>-31.66441373599169</v>
      </c>
      <c r="AG131" s="82">
        <f>SUM(AC131:AF132)*1000/SUM(K126)</f>
        <v>1122.1589658608173</v>
      </c>
      <c r="AL131" s="75">
        <v>4.47</v>
      </c>
      <c r="AM131" s="75">
        <v>0.2384</v>
      </c>
      <c r="AN131" s="75">
        <v>2.0694444444444446</v>
      </c>
      <c r="AO131" s="75"/>
      <c r="AW131" s="66">
        <v>40</v>
      </c>
      <c r="AX131" s="66">
        <v>4</v>
      </c>
      <c r="AY131" s="66">
        <v>1</v>
      </c>
      <c r="AZ131" s="66">
        <v>49</v>
      </c>
    </row>
    <row r="132" spans="1:52" ht="30.6" customHeight="1">
      <c r="A132" s="66"/>
      <c r="B132" s="66"/>
      <c r="C132" s="66"/>
      <c r="D132" s="75" t="s">
        <v>17</v>
      </c>
      <c r="E132" s="66"/>
      <c r="F132" s="75"/>
      <c r="G132" s="75">
        <v>2050</v>
      </c>
      <c r="H132" s="75"/>
      <c r="I132" s="75">
        <f>CCS!W$112</f>
        <v>0.1875</v>
      </c>
      <c r="J132" s="75"/>
      <c r="K132" s="66"/>
      <c r="L132" s="75"/>
      <c r="M132" s="75"/>
      <c r="N132" s="75"/>
      <c r="O132" s="69"/>
      <c r="P132" s="69"/>
      <c r="Q132" s="69"/>
      <c r="R132" s="75"/>
      <c r="S132" s="75"/>
      <c r="T132" s="75"/>
      <c r="U132" s="75"/>
      <c r="V132" s="75"/>
      <c r="W132" s="75"/>
      <c r="X132" s="75"/>
      <c r="Y132" s="75"/>
      <c r="Z132" s="75"/>
      <c r="AA132" s="75"/>
      <c r="AC132" s="91"/>
      <c r="AD132" s="91"/>
      <c r="AE132" s="91"/>
      <c r="AF132" s="91"/>
      <c r="AG132" s="91"/>
      <c r="AL132" s="75"/>
      <c r="AM132" s="75"/>
      <c r="AN132" s="75"/>
      <c r="AO132" s="75"/>
    </row>
    <row r="133" spans="1:52" ht="30.6" customHeight="1">
      <c r="A133" s="75" t="str">
        <f>"EHCCS"&amp;RIGHT(C133,3)&amp;"OXCN1"</f>
        <v>EHCCSWPEOXCN1</v>
      </c>
      <c r="B133" s="75" t="s">
        <v>208</v>
      </c>
      <c r="C133" s="66" t="s">
        <v>182</v>
      </c>
      <c r="D133" s="66"/>
      <c r="E133" s="195" t="s">
        <v>601</v>
      </c>
      <c r="F133" s="76"/>
      <c r="G133" s="75">
        <v>2013</v>
      </c>
      <c r="H133" s="74">
        <v>2025</v>
      </c>
      <c r="I133" s="66"/>
      <c r="J133" s="75">
        <v>1.024</v>
      </c>
      <c r="K133" s="75"/>
      <c r="L133" s="75"/>
      <c r="M133" s="75"/>
      <c r="N133" s="75"/>
      <c r="O133" s="69">
        <f>AL133+CCS!L$114/1000*7.45</f>
        <v>17.88</v>
      </c>
      <c r="P133" s="69">
        <f>O133*CCS!C$119/100</f>
        <v>0.44699999999999995</v>
      </c>
      <c r="Q133" s="69">
        <f>AN133+CCS!$L$120/3.6*7.45</f>
        <v>0.82777777777777772</v>
      </c>
      <c r="R133" s="68">
        <v>3.1536000000000002E-2</v>
      </c>
      <c r="S133" s="68">
        <v>0.9</v>
      </c>
      <c r="T133" s="68">
        <v>1</v>
      </c>
      <c r="U133" s="75">
        <v>25</v>
      </c>
      <c r="V133" s="75">
        <v>1</v>
      </c>
      <c r="W133" s="75"/>
      <c r="X133" s="69">
        <f>AW133</f>
        <v>90</v>
      </c>
      <c r="Y133" s="69">
        <f>AX133</f>
        <v>0</v>
      </c>
      <c r="Z133" s="69">
        <f>AY133</f>
        <v>1</v>
      </c>
      <c r="AA133" s="69">
        <f>AZ133</f>
        <v>11</v>
      </c>
      <c r="AC133" s="82">
        <f>-1*PMT($AC$1,U133,O133*1000000)/R133*S133/1000000</f>
        <v>32.663638545142931</v>
      </c>
      <c r="AD133" s="82">
        <f>P133*1000000/R133*S133/1000000</f>
        <v>12.756849315068491</v>
      </c>
      <c r="AE133" s="91">
        <f>SUMIFS('DMS marginal prices'!$G$8:$G$70,'DMS marginal prices'!$F$8:$F$70,G133,'DMS marginal prices'!$D$8:$D$70,C133)/J133+SUMIFS('DMS marginal prices'!$G$8:$G$70,'DMS marginal prices'!$F$8:$F$70,G134,'DMS marginal prices'!$D$8:$D$70,D134)*I134</f>
        <v>0</v>
      </c>
      <c r="AF133" s="91">
        <f>SUMIFS('DMS marginal prices'!$G$8:$G$70,'DMS marginal prices'!$F$8:$F$70,G133,'DMS marginal prices'!$D$8:$D$70,E133)*-1</f>
        <v>0</v>
      </c>
      <c r="AG133" s="82">
        <f>SUM(AC133:AF135)*1000/SUM(K135)</f>
        <v>546.28352794052739</v>
      </c>
      <c r="AL133" s="75">
        <v>7.45</v>
      </c>
      <c r="AM133" s="75">
        <v>0.25330000000000003</v>
      </c>
      <c r="AN133" s="75">
        <v>2.0694444444444446</v>
      </c>
      <c r="AO133" s="75"/>
      <c r="AW133" s="66">
        <v>90</v>
      </c>
      <c r="AY133" s="66">
        <v>1</v>
      </c>
      <c r="AZ133" s="66">
        <v>11</v>
      </c>
    </row>
    <row r="134" spans="1:52" ht="30.6" customHeight="1">
      <c r="A134" s="66"/>
      <c r="B134" s="66"/>
      <c r="D134" s="75" t="s">
        <v>17</v>
      </c>
      <c r="F134" s="76"/>
      <c r="G134" s="75">
        <v>2013</v>
      </c>
      <c r="I134" s="75">
        <f>CCS!$S$112</f>
        <v>0.2</v>
      </c>
      <c r="J134" s="75"/>
      <c r="K134" s="75"/>
      <c r="L134" s="75"/>
      <c r="M134" s="75"/>
      <c r="N134" s="75"/>
      <c r="R134" s="68"/>
      <c r="S134" s="68"/>
      <c r="T134" s="68"/>
      <c r="U134" s="75"/>
      <c r="V134" s="75"/>
      <c r="W134" s="75"/>
      <c r="X134" s="69"/>
      <c r="Y134" s="69"/>
      <c r="Z134" s="69"/>
      <c r="AA134" s="69"/>
      <c r="AC134" s="91"/>
      <c r="AD134" s="91"/>
      <c r="AE134" s="91"/>
      <c r="AF134" s="91"/>
      <c r="AG134" s="91"/>
      <c r="AL134" s="75"/>
      <c r="AM134" s="75"/>
      <c r="AN134" s="75"/>
      <c r="AO134" s="75"/>
    </row>
    <row r="135" spans="1:52" ht="30.6" customHeight="1">
      <c r="A135" s="66"/>
      <c r="B135" s="66"/>
      <c r="D135" s="66"/>
      <c r="E135" s="66"/>
      <c r="F135" s="74" t="str">
        <f>ELC_CCS_Comm!$C$14</f>
        <v>CO2BIOE</v>
      </c>
      <c r="G135" s="74">
        <v>2013</v>
      </c>
      <c r="H135" s="75"/>
      <c r="I135" s="66"/>
      <c r="J135" s="75"/>
      <c r="K135" s="74">
        <f>Emissions!C11*CCS!$C$112/100/J133</f>
        <v>83.14453125</v>
      </c>
      <c r="L135" s="75"/>
      <c r="M135" s="75"/>
      <c r="N135" s="75"/>
      <c r="R135" s="75"/>
      <c r="S135" s="75"/>
      <c r="T135" s="75"/>
      <c r="U135" s="75"/>
      <c r="V135" s="75"/>
      <c r="W135" s="75"/>
      <c r="X135" s="69"/>
      <c r="Y135" s="69"/>
      <c r="Z135" s="69"/>
      <c r="AA135" s="69"/>
      <c r="AC135" s="82"/>
      <c r="AD135" s="82"/>
      <c r="AE135" s="91"/>
      <c r="AF135" s="91"/>
      <c r="AG135" s="82"/>
      <c r="AL135" s="75"/>
      <c r="AM135" s="75"/>
      <c r="AN135" s="75"/>
      <c r="AO135" s="75"/>
    </row>
    <row r="136" spans="1:52" ht="30.6" customHeight="1">
      <c r="F136" s="76"/>
      <c r="G136" s="75">
        <v>2020</v>
      </c>
      <c r="H136" s="75"/>
      <c r="I136" s="75"/>
      <c r="J136" s="75">
        <v>1.024</v>
      </c>
      <c r="K136" s="66"/>
      <c r="L136" s="75"/>
      <c r="M136" s="75"/>
      <c r="N136" s="75"/>
      <c r="O136" s="69">
        <f>AL136+CCS!M$114/1000*7.45</f>
        <v>15.645</v>
      </c>
      <c r="P136" s="69">
        <f>O136*CCS!D$119/100</f>
        <v>0.39112499999999994</v>
      </c>
      <c r="Q136" s="69">
        <f>AN136+CCS!$M$120/3.6*7.45</f>
        <v>0.82777777777777772</v>
      </c>
      <c r="R136" s="75"/>
      <c r="S136" s="75"/>
      <c r="T136" s="75"/>
      <c r="U136" s="75"/>
      <c r="V136" s="75"/>
      <c r="W136" s="75"/>
      <c r="X136" s="69">
        <f>AW136</f>
        <v>50</v>
      </c>
      <c r="Y136" s="69">
        <f>AX136</f>
        <v>0</v>
      </c>
      <c r="Z136" s="69">
        <f>AY136</f>
        <v>1</v>
      </c>
      <c r="AA136" s="69">
        <f>AZ136</f>
        <v>11</v>
      </c>
      <c r="AC136" s="82">
        <f>-1*PMT($AC$1,U133,O136*1000000)/R133*S133/1000000</f>
        <v>28.580683727000064</v>
      </c>
      <c r="AD136" s="82">
        <f>P136*1000000/R133*S133/1000000</f>
        <v>11.16224315068493</v>
      </c>
      <c r="AE136" s="91">
        <f>SUMIFS('DMS marginal prices'!$G$8:$G$70,'DMS marginal prices'!$F$8:$F$70,G136,'DMS marginal prices'!$D$8:$D$70,C133)/J136+SUMIFS('DMS marginal prices'!$G$8:$G$70,'DMS marginal prices'!$F$8:$F$70,G137,'DMS marginal prices'!$D$8:$D$70,"SUPELC"*0.7)*I137</f>
        <v>0</v>
      </c>
      <c r="AF136" s="91">
        <f>-1*(SUMIFS('DMS marginal prices'!$G$8:$G$70,'DMS marginal prices'!$F$8:$F$70,G136,'DMS marginal prices'!$D$8:$D$70,E133))</f>
        <v>-52.241908895167256</v>
      </c>
      <c r="AG136" s="82">
        <f>SUM(AC136:AF137)*1000/SUM(K135)</f>
        <v>-150.32837192743526</v>
      </c>
      <c r="AL136" s="75">
        <v>7.45</v>
      </c>
      <c r="AM136" s="75">
        <v>0.24585000000000001</v>
      </c>
      <c r="AN136" s="75">
        <v>2.0694444444444446</v>
      </c>
      <c r="AO136" s="75"/>
      <c r="AW136" s="66">
        <v>50</v>
      </c>
      <c r="AY136" s="66">
        <v>1</v>
      </c>
      <c r="AZ136" s="66">
        <v>11</v>
      </c>
    </row>
    <row r="137" spans="1:52" ht="30.6" customHeight="1">
      <c r="D137" s="75" t="s">
        <v>17</v>
      </c>
      <c r="F137" s="76"/>
      <c r="G137" s="75">
        <v>2020</v>
      </c>
      <c r="H137" s="75"/>
      <c r="I137" s="75">
        <f>CCS!T$112</f>
        <v>0.19565217391304349</v>
      </c>
      <c r="J137" s="75"/>
      <c r="K137" s="66"/>
      <c r="L137" s="75"/>
      <c r="M137" s="75"/>
      <c r="N137" s="75"/>
      <c r="O137" s="69"/>
      <c r="P137" s="69"/>
      <c r="Q137" s="69"/>
      <c r="R137" s="75"/>
      <c r="S137" s="75"/>
      <c r="T137" s="75"/>
      <c r="U137" s="75"/>
      <c r="V137" s="75"/>
      <c r="W137" s="75"/>
      <c r="AC137" s="91"/>
      <c r="AD137" s="91"/>
      <c r="AE137" s="91"/>
      <c r="AF137" s="91"/>
      <c r="AG137" s="91"/>
      <c r="AL137" s="75"/>
      <c r="AM137" s="75"/>
      <c r="AN137" s="75"/>
      <c r="AO137" s="75"/>
    </row>
    <row r="138" spans="1:52" ht="30.6" customHeight="1">
      <c r="F138" s="75"/>
      <c r="G138" s="75">
        <v>2030</v>
      </c>
      <c r="H138" s="75"/>
      <c r="I138" s="75"/>
      <c r="J138" s="75">
        <v>1.024</v>
      </c>
      <c r="K138" s="66"/>
      <c r="L138" s="75"/>
      <c r="M138" s="75"/>
      <c r="N138" s="75"/>
      <c r="O138" s="69">
        <f>AL138+CCS!N$114/1000*7.45</f>
        <v>13.782499999999999</v>
      </c>
      <c r="P138" s="69">
        <f>O138*CCS!E$119/100</f>
        <v>0.34456249999999999</v>
      </c>
      <c r="Q138" s="69">
        <f>AN138+CCS!$N$120/3.6*7.45</f>
        <v>0.82777777777777772</v>
      </c>
      <c r="R138" s="75"/>
      <c r="S138" s="75"/>
      <c r="T138" s="75"/>
      <c r="U138" s="75"/>
      <c r="V138" s="75"/>
      <c r="W138" s="75"/>
      <c r="X138" s="69">
        <f>AW138</f>
        <v>40</v>
      </c>
      <c r="Y138" s="69">
        <f>AX138</f>
        <v>0</v>
      </c>
      <c r="Z138" s="69">
        <f>AY138</f>
        <v>1</v>
      </c>
      <c r="AA138" s="69">
        <f>AZ138</f>
        <v>11</v>
      </c>
      <c r="AC138" s="82">
        <f>-1*PMT($AC$1,U133,O138*1000000)/R133*S133/1000000</f>
        <v>25.178221378547672</v>
      </c>
      <c r="AD138" s="82">
        <f>P138*1000000/R133*S133/1000000</f>
        <v>9.8334046803652964</v>
      </c>
      <c r="AE138" s="91">
        <f>SUMIFS('DMS marginal prices'!$G$8:$G$70,'DMS marginal prices'!$F$8:$F$70,G138,'DMS marginal prices'!$D$8:$D$70,C133)/J138+SUMIFS('DMS marginal prices'!$G$8:$G$70,'DMS marginal prices'!$F$8:$F$70,G139,'DMS marginal prices'!$D$8:$D$70,"SUPELC"*0.7)*I139</f>
        <v>0</v>
      </c>
      <c r="AF138" s="91">
        <f>SUMIFS('DMS marginal prices'!$G$8:$G$70,'DMS marginal prices'!$F$8:$F$70,G138,'DMS marginal prices'!$D$8:$D$70,E133)*-1</f>
        <v>-43.622207164455787</v>
      </c>
      <c r="AG138" s="82">
        <f>SUM(AC138:AF139)*1000/SUM(K135)</f>
        <v>-103.56160502790519</v>
      </c>
      <c r="AL138" s="75">
        <v>6.7050000000000001</v>
      </c>
      <c r="AM138" s="75">
        <v>0.23094999999999999</v>
      </c>
      <c r="AN138" s="75">
        <v>2.0694444444444446</v>
      </c>
      <c r="AO138" s="75"/>
      <c r="AW138" s="66">
        <v>40</v>
      </c>
      <c r="AY138" s="66">
        <v>1</v>
      </c>
      <c r="AZ138" s="66">
        <v>11</v>
      </c>
    </row>
    <row r="139" spans="1:52" ht="30.6" customHeight="1">
      <c r="D139" s="75" t="s">
        <v>17</v>
      </c>
      <c r="F139" s="75"/>
      <c r="G139" s="75">
        <v>2030</v>
      </c>
      <c r="H139" s="75"/>
      <c r="I139" s="75">
        <f>CCS!V$112</f>
        <v>0.1875</v>
      </c>
      <c r="J139" s="75"/>
      <c r="K139" s="66"/>
      <c r="L139" s="75"/>
      <c r="M139" s="75"/>
      <c r="N139" s="75"/>
      <c r="O139" s="69"/>
      <c r="P139" s="69"/>
      <c r="Q139" s="69"/>
      <c r="R139" s="75"/>
      <c r="S139" s="75"/>
      <c r="T139" s="75"/>
      <c r="U139" s="75"/>
      <c r="V139" s="75"/>
      <c r="W139" s="75"/>
      <c r="AC139" s="91"/>
      <c r="AD139" s="91"/>
      <c r="AE139" s="91"/>
      <c r="AF139" s="91"/>
      <c r="AG139" s="91"/>
      <c r="AL139" s="75"/>
      <c r="AM139" s="75"/>
      <c r="AN139" s="75"/>
      <c r="AO139" s="75"/>
    </row>
    <row r="140" spans="1:52" ht="30.6" customHeight="1">
      <c r="F140" s="75"/>
      <c r="G140" s="75">
        <v>2050</v>
      </c>
      <c r="H140" s="75"/>
      <c r="I140" s="75"/>
      <c r="J140" s="75">
        <v>1.024</v>
      </c>
      <c r="K140" s="66"/>
      <c r="L140" s="75"/>
      <c r="M140" s="75"/>
      <c r="N140" s="75"/>
      <c r="O140" s="69">
        <f>AL140+CCS!P$114/1000*7.45</f>
        <v>13.037500000000001</v>
      </c>
      <c r="P140" s="69">
        <f>O140*CCS!G$119/100</f>
        <v>0.32593749999999999</v>
      </c>
      <c r="Q140" s="69">
        <f>AN140+CCS!$P$120/3.6*7.45</f>
        <v>0.82777777777777772</v>
      </c>
      <c r="R140" s="75"/>
      <c r="S140" s="75"/>
      <c r="T140" s="75"/>
      <c r="U140" s="75"/>
      <c r="V140" s="75"/>
      <c r="W140" s="75"/>
      <c r="X140" s="69">
        <f>AW140</f>
        <v>40</v>
      </c>
      <c r="Y140" s="69">
        <f>AX140</f>
        <v>0</v>
      </c>
      <c r="Z140" s="69">
        <f>AY140</f>
        <v>0</v>
      </c>
      <c r="AA140" s="69">
        <f>AZ140</f>
        <v>11</v>
      </c>
      <c r="AC140" s="82">
        <f>-1*PMT($AC$1,U133,O140*1000000)/R133*S133/1000000</f>
        <v>23.81723643916672</v>
      </c>
      <c r="AD140" s="82">
        <f>P140*1000000/R133*S133/1000000</f>
        <v>9.3018692922374431</v>
      </c>
      <c r="AE140" s="91">
        <f>SUMIFS('DMS marginal prices'!$G$8:$G$70,'DMS marginal prices'!$F$8:$F$70,G140,'DMS marginal prices'!$D$8:$D$70,C133)/J140+SUMIFS('DMS marginal prices'!$G$8:$G$70,'DMS marginal prices'!$F$8:$F$70,G141,'DMS marginal prices'!$D$8:$D$70,"SUPELC"*0.7)*I141</f>
        <v>0</v>
      </c>
      <c r="AF140" s="91">
        <f>SUMIFS('DMS marginal prices'!$G$8:$G$70,'DMS marginal prices'!$F$8:$F$70,G140,'DMS marginal prices'!$D$8:$D$70,E133)*-1</f>
        <v>-31.66441373599169</v>
      </c>
      <c r="AG140" s="82">
        <f>SUM(AC140:AF141)*1000/SUM(K135)</f>
        <v>17.495943191242311</v>
      </c>
      <c r="AL140" s="75">
        <v>5.9600000000000009</v>
      </c>
      <c r="AM140" s="75">
        <v>0.20860000000000001</v>
      </c>
      <c r="AN140" s="75">
        <v>2.0694444444444446</v>
      </c>
      <c r="AO140" s="75"/>
      <c r="AW140" s="66">
        <v>40</v>
      </c>
      <c r="AY140" s="66">
        <v>0</v>
      </c>
      <c r="AZ140" s="66">
        <v>11</v>
      </c>
    </row>
    <row r="141" spans="1:52" ht="30.6" customHeight="1">
      <c r="D141" s="75" t="s">
        <v>17</v>
      </c>
      <c r="F141" s="75"/>
      <c r="G141" s="75">
        <v>2050</v>
      </c>
      <c r="H141" s="75"/>
      <c r="I141" s="75">
        <f>CCS!W$112</f>
        <v>0.1875</v>
      </c>
      <c r="J141" s="75"/>
      <c r="K141" s="66"/>
      <c r="L141" s="75"/>
      <c r="M141" s="75"/>
      <c r="N141" s="75"/>
      <c r="O141" s="69"/>
      <c r="P141" s="69"/>
      <c r="Q141" s="69"/>
      <c r="R141" s="75"/>
      <c r="S141" s="75"/>
      <c r="T141" s="75"/>
      <c r="U141" s="75"/>
      <c r="V141" s="75"/>
      <c r="W141" s="75"/>
      <c r="X141" s="75"/>
      <c r="Y141" s="75"/>
      <c r="Z141" s="75"/>
      <c r="AA141" s="75"/>
      <c r="AC141" s="91"/>
      <c r="AD141" s="91"/>
      <c r="AE141" s="91"/>
      <c r="AF141" s="91"/>
      <c r="AG141" s="91"/>
      <c r="AL141" s="75"/>
      <c r="AM141" s="75"/>
      <c r="AN141" s="75"/>
      <c r="AO141" s="75"/>
    </row>
    <row r="142" spans="1:52" ht="30.6" customHeight="1">
      <c r="A142" s="75" t="str">
        <f>"EHCCS"&amp;RIGHT(C142,3)&amp;"OXCN1"</f>
        <v>EHCCSNGAOXCN1</v>
      </c>
      <c r="B142" s="75" t="s">
        <v>209</v>
      </c>
      <c r="C142" s="75" t="s">
        <v>597</v>
      </c>
      <c r="E142" s="195" t="s">
        <v>601</v>
      </c>
      <c r="F142" s="76"/>
      <c r="G142" s="75">
        <v>2013</v>
      </c>
      <c r="H142" s="74">
        <v>2025</v>
      </c>
      <c r="I142" s="66"/>
      <c r="J142" s="75">
        <v>1.05</v>
      </c>
      <c r="K142" s="75"/>
      <c r="L142" s="75"/>
      <c r="M142" s="75"/>
      <c r="N142" s="75"/>
      <c r="O142" s="69">
        <f>AL142+CCS!L$114/1000*7.45</f>
        <v>10.876999999999999</v>
      </c>
      <c r="P142" s="69">
        <f>O142*CCS!C$119/100</f>
        <v>0.27192499999999997</v>
      </c>
      <c r="Q142" s="69">
        <f>AN142+CCS!$L$120/3.6*7.45</f>
        <v>1.0347222222222221</v>
      </c>
      <c r="R142" s="68">
        <v>3.1536000000000002E-2</v>
      </c>
      <c r="S142" s="68">
        <v>0.9</v>
      </c>
      <c r="T142" s="68">
        <v>1</v>
      </c>
      <c r="U142" s="75">
        <v>25</v>
      </c>
      <c r="V142" s="75">
        <v>0.5</v>
      </c>
      <c r="W142" s="75"/>
      <c r="X142" s="69">
        <f>AW142</f>
        <v>10</v>
      </c>
      <c r="Y142" s="69">
        <f>AX142</f>
        <v>3</v>
      </c>
      <c r="Z142" s="69">
        <f>AY142</f>
        <v>1</v>
      </c>
      <c r="AA142" s="69">
        <f>AZ142</f>
        <v>0.3</v>
      </c>
      <c r="AC142" s="82">
        <f>-1*PMT($AC$1,U142,O142*1000000)/R142*S142/1000000</f>
        <v>19.870380114961947</v>
      </c>
      <c r="AD142" s="82">
        <f>P142*1000000/R142*S142/1000000</f>
        <v>7.7604166666666661</v>
      </c>
      <c r="AE142" s="91">
        <f>SUMIFS('DMS marginal prices'!$G$8:$G$70,'DMS marginal prices'!$F$8:$F$70,G142,'DMS marginal prices'!$D$8:$D$70,C142)/J142+SUMIFS('DMS marginal prices'!$G$8:$G$70,'DMS marginal prices'!$F$8:$F$70,G143,'DMS marginal prices'!$D$8:$D$70,D143)*I143</f>
        <v>0</v>
      </c>
      <c r="AF142" s="91">
        <f>SUMIFS('DMS marginal prices'!$G$8:$G$70,'DMS marginal prices'!$F$8:$F$70,G142,'DMS marginal prices'!$D$8:$D$70,E142)*-1</f>
        <v>0</v>
      </c>
      <c r="AG142" s="82">
        <f>SUM(AC142:AF144)*1000/SUM(K144)</f>
        <v>566.03914975534167</v>
      </c>
      <c r="AL142" s="75">
        <v>0.44700000000000001</v>
      </c>
      <c r="AM142" s="75">
        <v>1.49E-2</v>
      </c>
      <c r="AN142" s="75">
        <v>2.276388888888889</v>
      </c>
      <c r="AO142" s="75"/>
      <c r="AW142" s="66">
        <v>10</v>
      </c>
      <c r="AX142" s="66">
        <v>3</v>
      </c>
      <c r="AY142" s="66">
        <v>1</v>
      </c>
      <c r="AZ142" s="66">
        <v>0.3</v>
      </c>
    </row>
    <row r="143" spans="1:52" ht="30.6" customHeight="1">
      <c r="C143" s="66"/>
      <c r="D143" s="75" t="s">
        <v>17</v>
      </c>
      <c r="E143" s="66"/>
      <c r="F143" s="76"/>
      <c r="G143" s="75">
        <v>2013</v>
      </c>
      <c r="I143" s="75">
        <f>CCS!$S$112</f>
        <v>0.2</v>
      </c>
      <c r="J143" s="75"/>
      <c r="K143" s="75"/>
      <c r="L143" s="75"/>
      <c r="M143" s="75"/>
      <c r="N143" s="75"/>
      <c r="R143" s="68"/>
      <c r="S143" s="68"/>
      <c r="T143" s="68"/>
      <c r="U143" s="75"/>
      <c r="V143" s="75"/>
      <c r="W143" s="75"/>
      <c r="X143" s="69"/>
      <c r="Y143" s="69"/>
      <c r="Z143" s="69"/>
      <c r="AA143" s="69"/>
      <c r="AC143" s="91"/>
      <c r="AD143" s="91"/>
      <c r="AE143" s="91"/>
      <c r="AF143" s="91"/>
      <c r="AG143" s="91"/>
      <c r="AL143" s="75"/>
      <c r="AM143" s="75"/>
      <c r="AN143" s="75"/>
      <c r="AO143" s="75"/>
    </row>
    <row r="144" spans="1:52" ht="30.6" customHeight="1">
      <c r="D144" s="66"/>
      <c r="F144" s="74" t="str">
        <f>ELC_CCS_Comm!$C$14</f>
        <v>CO2BIOE</v>
      </c>
      <c r="G144" s="74">
        <v>2013</v>
      </c>
      <c r="H144" s="75"/>
      <c r="I144" s="66"/>
      <c r="J144" s="75"/>
      <c r="K144" s="74">
        <f>Emissions!F11*CCS!$C$112/100/J142</f>
        <v>48.814285714285717</v>
      </c>
      <c r="L144" s="75"/>
      <c r="M144" s="75"/>
      <c r="N144" s="75"/>
      <c r="R144" s="75"/>
      <c r="S144" s="75"/>
      <c r="T144" s="75"/>
      <c r="U144" s="75"/>
      <c r="V144" s="75"/>
      <c r="W144" s="75"/>
      <c r="X144" s="69"/>
      <c r="Y144" s="69"/>
      <c r="Z144" s="69"/>
      <c r="AA144" s="69"/>
      <c r="AC144" s="82"/>
      <c r="AD144" s="82"/>
      <c r="AE144" s="91"/>
      <c r="AF144" s="91"/>
      <c r="AG144" s="82"/>
      <c r="AL144" s="75"/>
      <c r="AM144" s="75"/>
      <c r="AN144" s="75"/>
      <c r="AO144" s="75"/>
    </row>
    <row r="145" spans="4:52" ht="30.6" customHeight="1">
      <c r="F145" s="76"/>
      <c r="G145" s="75">
        <v>2020</v>
      </c>
      <c r="H145" s="75"/>
      <c r="I145" s="75"/>
      <c r="J145" s="75">
        <v>1.05</v>
      </c>
      <c r="K145" s="66"/>
      <c r="L145" s="75"/>
      <c r="M145" s="75"/>
      <c r="N145" s="75"/>
      <c r="O145" s="69">
        <f>AL145+CCS!M$114/1000*7.45</f>
        <v>8.6419999999999995</v>
      </c>
      <c r="P145" s="69">
        <f>O145*CCS!D$119/100</f>
        <v>0.21604999999999996</v>
      </c>
      <c r="Q145" s="69">
        <f>AN145+CCS!$M$120/3.6*7.45</f>
        <v>1.0347222222222221</v>
      </c>
      <c r="R145" s="75"/>
      <c r="S145" s="75"/>
      <c r="T145" s="75"/>
      <c r="U145" s="75"/>
      <c r="V145" s="75"/>
      <c r="W145" s="75"/>
      <c r="X145" s="69">
        <f>AW145</f>
        <v>9</v>
      </c>
      <c r="Y145" s="69">
        <f>AX145</f>
        <v>3</v>
      </c>
      <c r="Z145" s="69">
        <f>AY145</f>
        <v>1</v>
      </c>
      <c r="AA145" s="69">
        <f>AZ145</f>
        <v>0.3</v>
      </c>
      <c r="AC145" s="82">
        <f>-1*PMT($AC$1,U142,O145*1000000)/R142*S142/1000000</f>
        <v>15.787425296819086</v>
      </c>
      <c r="AD145" s="82">
        <f>P145*1000000/R142*S142/1000000</f>
        <v>6.1658105022831045</v>
      </c>
      <c r="AE145" s="91">
        <f>SUMIFS('DMS marginal prices'!$G$8:$G$70,'DMS marginal prices'!$F$8:$F$70,G145,'DMS marginal prices'!$D$8:$D$70,C142)/J145+SUMIFS('DMS marginal prices'!$G$8:$G$70,'DMS marginal prices'!$F$8:$F$70,G146,'DMS marginal prices'!$D$8:$D$70,"SUPELC"*0.7)*I146</f>
        <v>0</v>
      </c>
      <c r="AF145" s="91">
        <f>-1*(SUMIFS('DMS marginal prices'!$G$8:$G$70,'DMS marginal prices'!$F$8:$F$70,G145,'DMS marginal prices'!$D$8:$D$70,E142))</f>
        <v>-52.241908895167256</v>
      </c>
      <c r="AG145" s="82">
        <f>SUM(AC145:AF146)*1000/SUM(K144)</f>
        <v>-620.4878890033815</v>
      </c>
      <c r="AL145" s="75">
        <v>0.44700000000000001</v>
      </c>
      <c r="AM145" s="75">
        <v>1.45275E-2</v>
      </c>
      <c r="AN145" s="75">
        <v>2.276388888888889</v>
      </c>
      <c r="AO145" s="75"/>
      <c r="AW145" s="66">
        <v>9</v>
      </c>
      <c r="AX145" s="66">
        <v>3</v>
      </c>
      <c r="AY145" s="66">
        <v>1</v>
      </c>
      <c r="AZ145" s="66">
        <v>0.3</v>
      </c>
    </row>
    <row r="146" spans="4:52" ht="30.6" customHeight="1">
      <c r="D146" s="75" t="s">
        <v>17</v>
      </c>
      <c r="F146" s="76"/>
      <c r="G146" s="75">
        <v>2020</v>
      </c>
      <c r="H146" s="75"/>
      <c r="I146" s="75">
        <f>CCS!T$112</f>
        <v>0.19565217391304349</v>
      </c>
      <c r="J146" s="75"/>
      <c r="K146" s="66"/>
      <c r="L146" s="75"/>
      <c r="M146" s="75"/>
      <c r="N146" s="75"/>
      <c r="O146" s="69"/>
      <c r="P146" s="69"/>
      <c r="Q146" s="69"/>
      <c r="R146" s="75"/>
      <c r="S146" s="75"/>
      <c r="T146" s="75"/>
      <c r="U146" s="75"/>
      <c r="V146" s="75"/>
      <c r="W146" s="75"/>
      <c r="AC146" s="91"/>
      <c r="AD146" s="91"/>
      <c r="AE146" s="91"/>
      <c r="AF146" s="91"/>
      <c r="AG146" s="91"/>
      <c r="AL146" s="75"/>
      <c r="AM146" s="75"/>
      <c r="AN146" s="75"/>
      <c r="AO146" s="75"/>
    </row>
    <row r="147" spans="4:52" ht="30.6" customHeight="1">
      <c r="F147" s="75"/>
      <c r="G147" s="75">
        <v>2030</v>
      </c>
      <c r="H147" s="75"/>
      <c r="I147" s="75"/>
      <c r="J147" s="75">
        <v>1.05</v>
      </c>
      <c r="K147" s="66"/>
      <c r="L147" s="75"/>
      <c r="M147" s="75"/>
      <c r="N147" s="75"/>
      <c r="O147" s="69">
        <f>AL147+CCS!N$114/1000*7.45</f>
        <v>7.4499999999999993</v>
      </c>
      <c r="P147" s="69">
        <f>O147*CCS!E$119/100</f>
        <v>0.18625</v>
      </c>
      <c r="Q147" s="69">
        <f>AN147+CCS!$N$120/3.6*7.45</f>
        <v>0.82777777777777772</v>
      </c>
      <c r="R147" s="75"/>
      <c r="S147" s="75"/>
      <c r="T147" s="75"/>
      <c r="U147" s="75"/>
      <c r="V147" s="75"/>
      <c r="W147" s="75"/>
      <c r="X147" s="69">
        <f>AW147</f>
        <v>7</v>
      </c>
      <c r="Y147" s="69">
        <f>AX147</f>
        <v>2</v>
      </c>
      <c r="Z147" s="69">
        <f>AY147</f>
        <v>1</v>
      </c>
      <c r="AA147" s="69">
        <f>AZ147</f>
        <v>0.3</v>
      </c>
      <c r="AC147" s="82">
        <f>-1*PMT($AC$1,U142,O147*1000000)/R142*S142/1000000</f>
        <v>13.609849393809551</v>
      </c>
      <c r="AD147" s="82">
        <f>P147*1000000/R142*S142/1000000</f>
        <v>5.3153538812785381</v>
      </c>
      <c r="AE147" s="91">
        <f>SUMIFS('DMS marginal prices'!$G$8:$G$70,'DMS marginal prices'!$F$8:$F$70,G147,'DMS marginal prices'!$D$8:$D$70,C142)/J147+SUMIFS('DMS marginal prices'!$G$8:$G$70,'DMS marginal prices'!$F$8:$F$70,G148,'DMS marginal prices'!$D$8:$D$70,"SUPELC"*0.7)*I148</f>
        <v>0</v>
      </c>
      <c r="AF147" s="91">
        <f>SUMIFS('DMS marginal prices'!$G$8:$G$70,'DMS marginal prices'!$F$8:$F$70,G147,'DMS marginal prices'!$D$8:$D$70,E142)*-1</f>
        <v>-43.622207164455787</v>
      </c>
      <c r="AG147" s="82">
        <f>SUM(AC147:AF148)*1000/SUM(K144)</f>
        <v>-505.93803694929443</v>
      </c>
      <c r="AL147" s="75">
        <v>0.37250000000000005</v>
      </c>
      <c r="AM147" s="75">
        <v>1.4154999999999999E-2</v>
      </c>
      <c r="AN147" s="75">
        <v>2.0694444444444446</v>
      </c>
      <c r="AO147" s="75"/>
      <c r="AW147" s="66">
        <v>7</v>
      </c>
      <c r="AX147" s="66">
        <v>2</v>
      </c>
      <c r="AY147" s="66">
        <v>1</v>
      </c>
      <c r="AZ147" s="66">
        <v>0.3</v>
      </c>
    </row>
    <row r="148" spans="4:52" ht="30.6" customHeight="1">
      <c r="D148" s="75" t="s">
        <v>17</v>
      </c>
      <c r="F148" s="75"/>
      <c r="G148" s="75">
        <v>2030</v>
      </c>
      <c r="H148" s="75"/>
      <c r="I148" s="75">
        <f>CCS!V$112</f>
        <v>0.1875</v>
      </c>
      <c r="J148" s="75"/>
      <c r="K148" s="66"/>
      <c r="L148" s="75"/>
      <c r="M148" s="75"/>
      <c r="N148" s="75"/>
      <c r="O148" s="69"/>
      <c r="P148" s="69"/>
      <c r="Q148" s="69"/>
      <c r="R148" s="75"/>
      <c r="S148" s="75"/>
      <c r="T148" s="75"/>
      <c r="U148" s="75"/>
      <c r="V148" s="75"/>
      <c r="W148" s="75"/>
      <c r="AC148" s="91"/>
      <c r="AD148" s="91"/>
      <c r="AE148" s="91"/>
      <c r="AF148" s="91"/>
      <c r="AG148" s="91"/>
      <c r="AL148" s="75"/>
      <c r="AM148" s="75"/>
      <c r="AN148" s="75"/>
      <c r="AO148" s="75"/>
    </row>
    <row r="149" spans="4:52" ht="30.6" customHeight="1">
      <c r="F149" s="75"/>
      <c r="G149" s="75">
        <v>2050</v>
      </c>
      <c r="H149" s="75"/>
      <c r="I149" s="75"/>
      <c r="J149" s="75">
        <v>1.05</v>
      </c>
      <c r="K149" s="66"/>
      <c r="L149" s="75"/>
      <c r="M149" s="75"/>
      <c r="N149" s="75"/>
      <c r="O149" s="69">
        <f>AL149+CCS!P$114/1000*7.45</f>
        <v>7.4499999999999993</v>
      </c>
      <c r="P149" s="69">
        <f>O149*CCS!G$119/100</f>
        <v>0.18625</v>
      </c>
      <c r="Q149" s="69">
        <f>AN149+CCS!$P$120/3.6*7.45</f>
        <v>1.0347222222222221</v>
      </c>
      <c r="R149" s="75"/>
      <c r="S149" s="75"/>
      <c r="T149" s="75"/>
      <c r="U149" s="75"/>
      <c r="V149" s="75"/>
      <c r="W149" s="75"/>
      <c r="X149" s="69">
        <f>AW149</f>
        <v>6</v>
      </c>
      <c r="Y149" s="69">
        <f>AX149</f>
        <v>2</v>
      </c>
      <c r="Z149" s="69">
        <f>AY149</f>
        <v>1</v>
      </c>
      <c r="AA149" s="69">
        <f>AZ149</f>
        <v>0.3</v>
      </c>
      <c r="AC149" s="82">
        <f>-1*PMT($AC$1,U142,O149*1000000)/R142*S142/1000000</f>
        <v>13.609849393809551</v>
      </c>
      <c r="AD149" s="82">
        <f>P149*1000000/R142*S142/1000000</f>
        <v>5.3153538812785381</v>
      </c>
      <c r="AE149" s="91">
        <f>SUMIFS('DMS marginal prices'!$G$8:$G$70,'DMS marginal prices'!$F$8:$F$70,G149,'DMS marginal prices'!$D$8:$D$70,C142)/J149+SUMIFS('DMS marginal prices'!$G$8:$G$70,'DMS marginal prices'!$F$8:$F$70,G150,'DMS marginal prices'!$D$8:$D$70,"SUPELC"*0.7)*I150</f>
        <v>0</v>
      </c>
      <c r="AF149" s="91">
        <f>SUMIFS('DMS marginal prices'!$G$8:$G$70,'DMS marginal prices'!$F$8:$F$70,G149,'DMS marginal prices'!$D$8:$D$70,E142)*-1</f>
        <v>-31.66441373599169</v>
      </c>
      <c r="AG149" s="82">
        <f>SUM(AC149:AF150)*1000/SUM(K144)</f>
        <v>-260.97299744315251</v>
      </c>
      <c r="AL149" s="75">
        <v>0.37250000000000005</v>
      </c>
      <c r="AM149" s="75">
        <v>1.2664999999999999E-2</v>
      </c>
      <c r="AN149" s="75">
        <v>2.276388888888889</v>
      </c>
      <c r="AO149" s="75"/>
      <c r="AW149" s="66">
        <v>6</v>
      </c>
      <c r="AX149" s="66">
        <v>2</v>
      </c>
      <c r="AY149" s="66">
        <v>1</v>
      </c>
      <c r="AZ149" s="66">
        <v>0.3</v>
      </c>
    </row>
    <row r="150" spans="4:52" ht="30.6" customHeight="1">
      <c r="D150" s="75" t="s">
        <v>17</v>
      </c>
      <c r="F150" s="75"/>
      <c r="G150" s="75">
        <v>2050</v>
      </c>
      <c r="H150" s="75"/>
      <c r="I150" s="75">
        <f>CCS!W$112</f>
        <v>0.1875</v>
      </c>
      <c r="J150" s="75"/>
      <c r="K150" s="66"/>
      <c r="L150" s="75"/>
      <c r="M150" s="75"/>
      <c r="N150" s="75"/>
      <c r="O150" s="69"/>
      <c r="P150" s="69"/>
      <c r="Q150" s="69"/>
      <c r="R150" s="75"/>
      <c r="S150" s="75"/>
      <c r="T150" s="75"/>
      <c r="U150" s="75"/>
      <c r="V150" s="75"/>
      <c r="W150" s="75"/>
      <c r="X150" s="75"/>
      <c r="Y150" s="75"/>
      <c r="Z150" s="75"/>
      <c r="AA150" s="75"/>
      <c r="AC150" s="91"/>
      <c r="AD150" s="91"/>
      <c r="AE150" s="91"/>
      <c r="AF150" s="91"/>
      <c r="AG150" s="91"/>
      <c r="AL150" s="75"/>
      <c r="AM150" s="75"/>
      <c r="AN150" s="75"/>
      <c r="AO150" s="75"/>
    </row>
    <row r="151" spans="4:52" ht="30.6" customHeight="1">
      <c r="U151" s="66"/>
    </row>
    <row r="152" spans="4:52" ht="30.6" customHeight="1">
      <c r="U152" s="66"/>
    </row>
    <row r="153" spans="4:52" ht="30.6" customHeight="1">
      <c r="U153" s="66"/>
    </row>
    <row r="154" spans="4:52" ht="30.6" customHeight="1">
      <c r="U154" s="66"/>
    </row>
    <row r="155" spans="4:52" ht="30.6" customHeight="1">
      <c r="U155" s="66"/>
    </row>
    <row r="156" spans="4:52" ht="30.6" customHeight="1">
      <c r="U156" s="66"/>
    </row>
    <row r="157" spans="4:52" ht="30.6" customHeight="1">
      <c r="U157" s="66"/>
    </row>
    <row r="158" spans="4:52" ht="30.6" customHeight="1">
      <c r="U158" s="66"/>
    </row>
    <row r="159" spans="4:52" ht="30.6" customHeight="1">
      <c r="U159" s="66"/>
    </row>
    <row r="160" spans="4:52" ht="30.6" customHeight="1">
      <c r="U160" s="66"/>
    </row>
    <row r="161" spans="1:21" ht="30.6" customHeight="1">
      <c r="U161" s="66"/>
    </row>
    <row r="162" spans="1:21" ht="30.6" customHeight="1">
      <c r="U162" s="66"/>
    </row>
    <row r="163" spans="1:21" ht="30.6" customHeight="1">
      <c r="U163" s="66"/>
    </row>
    <row r="164" spans="1:21" ht="30.6" customHeight="1">
      <c r="U164" s="66"/>
    </row>
    <row r="165" spans="1:21" ht="30.6" customHeight="1">
      <c r="U165" s="66"/>
    </row>
    <row r="166" spans="1:21" ht="30.6" customHeight="1">
      <c r="U166" s="66"/>
    </row>
    <row r="167" spans="1:21" ht="30.6" customHeight="1">
      <c r="U167" s="66"/>
    </row>
    <row r="168" spans="1:21" ht="30.6" customHeight="1">
      <c r="U168" s="66"/>
    </row>
    <row r="169" spans="1:21" ht="30.6" customHeight="1">
      <c r="U169" s="66"/>
    </row>
    <row r="170" spans="1:21" ht="30.6" customHeight="1">
      <c r="U170" s="66"/>
    </row>
    <row r="171" spans="1:21" ht="30.6" customHeight="1">
      <c r="U171" s="66"/>
    </row>
    <row r="172" spans="1:21" ht="30.6" customHeight="1">
      <c r="A172" s="66"/>
      <c r="U172" s="66"/>
    </row>
    <row r="173" spans="1:21" ht="30.6" customHeight="1">
      <c r="A173" s="66"/>
      <c r="U173" s="66"/>
    </row>
    <row r="174" spans="1:21" ht="30.6" customHeight="1">
      <c r="A174" s="66"/>
      <c r="U174" s="66"/>
    </row>
    <row r="175" spans="1:21" ht="30.6" customHeight="1">
      <c r="A175" s="66"/>
      <c r="U175" s="66"/>
    </row>
    <row r="176" spans="1:21" ht="30.6" customHeight="1">
      <c r="A176" s="66"/>
      <c r="U176" s="66"/>
    </row>
    <row r="177" spans="1:21" ht="30.6" customHeight="1">
      <c r="A177" s="66"/>
      <c r="U177" s="66"/>
    </row>
    <row r="178" spans="1:21" ht="30.6" customHeight="1">
      <c r="A178" s="66"/>
      <c r="U178" s="66"/>
    </row>
    <row r="179" spans="1:21" ht="30.6" customHeight="1">
      <c r="A179" s="66"/>
      <c r="U179" s="66"/>
    </row>
    <row r="180" spans="1:21" ht="30.6" customHeight="1">
      <c r="A180" s="66"/>
      <c r="U180" s="66"/>
    </row>
    <row r="181" spans="1:21" ht="30.6" customHeight="1">
      <c r="A181" s="66"/>
      <c r="U181" s="66"/>
    </row>
    <row r="182" spans="1:21" ht="30.6" customHeight="1">
      <c r="A182" s="66"/>
      <c r="U182" s="66"/>
    </row>
    <row r="183" spans="1:21" ht="30.6" customHeight="1">
      <c r="A183" s="66"/>
      <c r="U183" s="66"/>
    </row>
    <row r="184" spans="1:21" ht="30.6" customHeight="1">
      <c r="A184" s="66"/>
      <c r="U184" s="66"/>
    </row>
    <row r="185" spans="1:21" ht="30.6" customHeight="1">
      <c r="A185" s="66"/>
      <c r="U185" s="66"/>
    </row>
    <row r="186" spans="1:21" ht="30.6" customHeight="1">
      <c r="A186" s="66"/>
      <c r="U186" s="66"/>
    </row>
    <row r="187" spans="1:21" ht="30.6" customHeight="1">
      <c r="A187" s="66"/>
      <c r="U187" s="66"/>
    </row>
    <row r="188" spans="1:21" ht="30.6" customHeight="1">
      <c r="A188" s="66"/>
      <c r="U188" s="66"/>
    </row>
    <row r="189" spans="1:21" ht="30.6" customHeight="1">
      <c r="A189" s="66"/>
      <c r="U189" s="66"/>
    </row>
    <row r="190" spans="1:21" ht="30.6" customHeight="1">
      <c r="A190" s="66"/>
      <c r="U190" s="66"/>
    </row>
    <row r="191" spans="1:21" ht="30.6" customHeight="1">
      <c r="A191" s="66"/>
      <c r="U191" s="66"/>
    </row>
    <row r="192" spans="1:21" ht="30.6" customHeight="1">
      <c r="A192" s="66"/>
      <c r="U192" s="66"/>
    </row>
    <row r="193" spans="1:21" ht="30.6" customHeight="1">
      <c r="A193" s="66"/>
      <c r="U193" s="66"/>
    </row>
    <row r="194" spans="1:21" ht="30.6" customHeight="1">
      <c r="A194" s="66"/>
      <c r="U194" s="66"/>
    </row>
    <row r="195" spans="1:21" ht="30.6" customHeight="1">
      <c r="A195" s="66"/>
      <c r="U195" s="66"/>
    </row>
    <row r="196" spans="1:21" ht="30.6" customHeight="1">
      <c r="A196" s="66"/>
      <c r="U196" s="66"/>
    </row>
    <row r="197" spans="1:21" ht="30.6" customHeight="1">
      <c r="A197" s="66"/>
      <c r="U197" s="66"/>
    </row>
    <row r="198" spans="1:21" ht="30.6" customHeight="1">
      <c r="A198" s="66"/>
      <c r="U198" s="66"/>
    </row>
    <row r="199" spans="1:21" ht="30.6" customHeight="1">
      <c r="A199" s="66"/>
      <c r="U199" s="66"/>
    </row>
    <row r="200" spans="1:21" ht="30.6" customHeight="1">
      <c r="A200" s="66"/>
      <c r="U200" s="66"/>
    </row>
    <row r="201" spans="1:21" ht="30.6" customHeight="1">
      <c r="A201" s="66"/>
      <c r="U201" s="66"/>
    </row>
    <row r="202" spans="1:21" ht="30.6" customHeight="1">
      <c r="A202" s="66"/>
      <c r="U202" s="66"/>
    </row>
    <row r="203" spans="1:21" ht="30.6" customHeight="1">
      <c r="A203" s="66"/>
      <c r="U203" s="66"/>
    </row>
    <row r="204" spans="1:21" ht="30.6" customHeight="1">
      <c r="U204" s="66"/>
    </row>
  </sheetData>
  <pageMargins left="0.7" right="0.7" top="0.75" bottom="0.75" header="0.3" footer="0.3"/>
  <pageSetup paperSize="9" orientation="portrait"/>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89455-08D9-4DF6-886F-241180115EB2}">
  <sheetPr>
    <tabColor rgb="FF92D050"/>
  </sheetPr>
  <dimension ref="A2:BA199"/>
  <sheetViews>
    <sheetView workbookViewId="0">
      <pane xSplit="4" ySplit="6" topLeftCell="G124" activePane="bottomRight" state="frozen"/>
      <selection pane="topRight" activeCell="C1" sqref="C1"/>
      <selection pane="bottomLeft" activeCell="A7" sqref="A7"/>
      <selection pane="bottomRight" activeCell="M145" sqref="M145"/>
    </sheetView>
  </sheetViews>
  <sheetFormatPr defaultRowHeight="14.4"/>
  <cols>
    <col min="1" max="1" width="18.44140625" style="91" customWidth="1"/>
    <col min="3" max="3" width="20.6640625" bestFit="1" customWidth="1"/>
    <col min="6" max="6" width="11.6640625" customWidth="1"/>
    <col min="7" max="7" width="11.6640625" style="91" customWidth="1"/>
    <col min="12" max="12" width="8.88671875" style="91"/>
    <col min="14" max="14" width="12" bestFit="1" customWidth="1"/>
    <col min="21" max="21" width="8.88671875" style="91"/>
    <col min="24" max="24" width="8.88671875" style="91"/>
    <col min="25" max="25" width="11.5546875" style="91" bestFit="1" customWidth="1"/>
    <col min="26" max="26" width="8.88671875" style="91"/>
    <col min="27" max="27" width="7.44140625" style="91" customWidth="1"/>
    <col min="28" max="30" width="8.88671875" style="91"/>
    <col min="36" max="36" width="9.88671875" bestFit="1" customWidth="1"/>
  </cols>
  <sheetData>
    <row r="2" spans="1:53">
      <c r="AW2" t="s">
        <v>962</v>
      </c>
    </row>
    <row r="3" spans="1:53">
      <c r="Y3" s="119">
        <v>0.04</v>
      </c>
    </row>
    <row r="4" spans="1:53" ht="25.8">
      <c r="C4" s="91"/>
      <c r="D4" s="91"/>
      <c r="E4" s="91"/>
      <c r="F4" s="91"/>
      <c r="H4" s="91"/>
      <c r="I4" s="91"/>
      <c r="J4" s="2" t="s">
        <v>0</v>
      </c>
      <c r="K4" s="91"/>
      <c r="M4" s="91"/>
      <c r="N4" s="91"/>
      <c r="O4" s="91"/>
      <c r="P4" s="91"/>
      <c r="Q4" s="91"/>
      <c r="R4" s="91"/>
      <c r="S4" s="91"/>
      <c r="T4" s="91"/>
      <c r="V4" s="91"/>
      <c r="W4" s="91"/>
      <c r="AE4" s="91"/>
      <c r="AF4" s="91"/>
      <c r="AG4" s="378" t="s">
        <v>964</v>
      </c>
      <c r="AW4" t="s">
        <v>960</v>
      </c>
      <c r="AZ4" s="381">
        <v>1297.9768458811</v>
      </c>
      <c r="BA4" t="s">
        <v>961</v>
      </c>
    </row>
    <row r="5" spans="1:53" ht="72">
      <c r="A5" s="91" t="s">
        <v>959</v>
      </c>
      <c r="C5" s="265" t="s">
        <v>1</v>
      </c>
      <c r="D5" s="265" t="s">
        <v>2</v>
      </c>
      <c r="E5" s="265" t="s">
        <v>772</v>
      </c>
      <c r="F5" s="265" t="s">
        <v>3</v>
      </c>
      <c r="G5" s="265" t="s">
        <v>59</v>
      </c>
      <c r="H5" s="265" t="s">
        <v>4</v>
      </c>
      <c r="I5" s="266" t="s">
        <v>184</v>
      </c>
      <c r="J5" s="265" t="s">
        <v>773</v>
      </c>
      <c r="K5" s="265" t="s">
        <v>6</v>
      </c>
      <c r="L5" s="267" t="s">
        <v>7</v>
      </c>
      <c r="M5" s="267" t="s">
        <v>19</v>
      </c>
      <c r="N5" s="268" t="s">
        <v>8</v>
      </c>
      <c r="O5" s="267" t="s">
        <v>9</v>
      </c>
      <c r="P5" s="269" t="s">
        <v>10</v>
      </c>
      <c r="Q5" s="269" t="s">
        <v>11</v>
      </c>
      <c r="R5" s="270" t="s">
        <v>12</v>
      </c>
      <c r="S5" s="271" t="s">
        <v>955</v>
      </c>
      <c r="T5" s="270" t="s">
        <v>775</v>
      </c>
      <c r="U5" s="270" t="s">
        <v>167</v>
      </c>
      <c r="V5" s="270" t="s">
        <v>190</v>
      </c>
      <c r="W5" s="270" t="s">
        <v>172</v>
      </c>
      <c r="X5" s="273"/>
      <c r="Y5" s="91" t="s">
        <v>1028</v>
      </c>
      <c r="AD5" s="273"/>
      <c r="AE5" s="267" t="s">
        <v>774</v>
      </c>
      <c r="AF5" s="267" t="s">
        <v>968</v>
      </c>
      <c r="AG5" s="267" t="s">
        <v>7</v>
      </c>
      <c r="AH5" s="267" t="s">
        <v>966</v>
      </c>
      <c r="AI5" s="267" t="s">
        <v>967</v>
      </c>
      <c r="AJ5" s="268" t="s">
        <v>8</v>
      </c>
      <c r="AK5" s="267" t="s">
        <v>9</v>
      </c>
      <c r="AL5" s="269" t="s">
        <v>10</v>
      </c>
      <c r="AM5" s="269" t="s">
        <v>11</v>
      </c>
      <c r="AN5" s="270" t="s">
        <v>12</v>
      </c>
      <c r="AO5" s="271" t="s">
        <v>955</v>
      </c>
      <c r="AP5" s="270" t="s">
        <v>775</v>
      </c>
      <c r="AQ5" s="272" t="s">
        <v>776</v>
      </c>
      <c r="AR5" s="379" t="s">
        <v>956</v>
      </c>
      <c r="AS5" s="380" t="s">
        <v>957</v>
      </c>
      <c r="AT5" s="382" t="s">
        <v>965</v>
      </c>
      <c r="AW5" t="s">
        <v>963</v>
      </c>
      <c r="AZ5">
        <v>5.1862186740511591</v>
      </c>
      <c r="BA5" t="s">
        <v>188</v>
      </c>
    </row>
    <row r="6" spans="1:53" ht="15" thickBot="1">
      <c r="C6" s="277" t="s">
        <v>13</v>
      </c>
      <c r="D6" s="278"/>
      <c r="E6" s="278"/>
      <c r="F6" s="278"/>
      <c r="G6" s="278"/>
      <c r="H6" s="278"/>
      <c r="I6" s="279"/>
      <c r="J6" s="278"/>
      <c r="K6" s="278"/>
      <c r="L6" s="280"/>
      <c r="M6" s="280"/>
      <c r="N6" s="281"/>
      <c r="O6" s="278"/>
      <c r="P6" s="278"/>
      <c r="Q6" s="278"/>
      <c r="R6" s="278"/>
      <c r="S6" s="278"/>
      <c r="T6" s="278"/>
      <c r="U6" s="278"/>
      <c r="V6" s="279"/>
      <c r="W6" s="279"/>
      <c r="X6" s="282"/>
      <c r="Y6" s="91" t="s">
        <v>1029</v>
      </c>
      <c r="Z6" s="91" t="s">
        <v>1030</v>
      </c>
      <c r="AA6" s="91" t="s">
        <v>1031</v>
      </c>
      <c r="AB6" s="91" t="s">
        <v>1032</v>
      </c>
      <c r="AC6" s="91" t="s">
        <v>1028</v>
      </c>
      <c r="AD6" s="282"/>
      <c r="AE6" s="280"/>
      <c r="AF6" s="280"/>
      <c r="AG6" s="280"/>
      <c r="AH6" s="280"/>
      <c r="AI6" s="280"/>
      <c r="AJ6" s="281"/>
      <c r="AK6" s="278"/>
      <c r="AL6" s="278"/>
      <c r="AM6" s="278"/>
      <c r="AN6" s="278"/>
      <c r="AO6" s="278"/>
      <c r="AP6" s="278"/>
      <c r="AQ6" s="279"/>
      <c r="AR6" t="s">
        <v>958</v>
      </c>
      <c r="AS6" s="91" t="s">
        <v>958</v>
      </c>
    </row>
    <row r="7" spans="1:53">
      <c r="C7" s="91" t="s">
        <v>785</v>
      </c>
      <c r="D7" s="91"/>
      <c r="E7" s="91"/>
      <c r="F7" s="91"/>
      <c r="H7" s="91"/>
      <c r="I7" s="131"/>
      <c r="J7" s="284"/>
      <c r="K7" s="284"/>
      <c r="L7" s="284"/>
      <c r="M7" s="284"/>
      <c r="N7" s="284" t="s">
        <v>179</v>
      </c>
      <c r="O7" s="284" t="s">
        <v>786</v>
      </c>
      <c r="P7" s="284" t="s">
        <v>180</v>
      </c>
      <c r="Q7" s="284" t="s">
        <v>15</v>
      </c>
      <c r="R7" s="284" t="s">
        <v>15</v>
      </c>
      <c r="S7" s="284"/>
      <c r="T7" s="284"/>
      <c r="U7" s="284"/>
      <c r="V7" s="285"/>
      <c r="W7" s="285"/>
      <c r="X7" s="286"/>
      <c r="Y7" s="91" t="s">
        <v>1033</v>
      </c>
      <c r="Z7" s="91" t="s">
        <v>1033</v>
      </c>
      <c r="AA7" s="91" t="s">
        <v>220</v>
      </c>
      <c r="AB7" s="91" t="s">
        <v>378</v>
      </c>
      <c r="AC7" s="91" t="s">
        <v>378</v>
      </c>
      <c r="AD7" s="286"/>
      <c r="AE7" s="284"/>
      <c r="AF7" s="284"/>
      <c r="AG7" s="284"/>
      <c r="AH7" s="284"/>
      <c r="AI7" s="284"/>
      <c r="AJ7" s="284" t="s">
        <v>179</v>
      </c>
      <c r="AK7" s="284" t="s">
        <v>786</v>
      </c>
      <c r="AL7" s="284" t="s">
        <v>180</v>
      </c>
      <c r="AM7" s="284" t="s">
        <v>15</v>
      </c>
      <c r="AN7" s="284" t="s">
        <v>15</v>
      </c>
      <c r="AO7" s="284"/>
      <c r="AP7" s="284"/>
      <c r="AQ7" s="285"/>
    </row>
    <row r="8" spans="1:53">
      <c r="A8" s="91" t="str">
        <f>IF(C8&gt;0,LEFT(C8,12),A7)</f>
        <v>INDGDHTGASN1</v>
      </c>
      <c r="C8" s="91" t="str">
        <f>'IND tech'!D132&amp;"CCS"</f>
        <v>INDGDHTGASN1CCS</v>
      </c>
      <c r="D8" s="91" t="str">
        <f>'IND tech'!E132&amp;"CCS"</f>
        <v>Industrial heating technology Glass &amp; Concrete HT - Gas boiler (Steam) - new 1CCS</v>
      </c>
      <c r="E8" s="91" t="s">
        <v>791</v>
      </c>
      <c r="F8" s="91" t="str">
        <f>'IND tech'!$G$132</f>
        <v>INDNGA, INDBGA, INDSNG1, INDSNG2, INDLPG</v>
      </c>
      <c r="H8" s="91" t="str">
        <f>'IND tech'!H132</f>
        <v>IGDHT</v>
      </c>
      <c r="J8" s="91">
        <v>2020</v>
      </c>
      <c r="K8" s="91">
        <v>2020</v>
      </c>
      <c r="L8" s="82">
        <f>AF8+AG8</f>
        <v>0.45731596411613723</v>
      </c>
      <c r="M8" s="91" cm="1">
        <f t="array" ref="M8">INDEX('IND tech'!$L$6:$V$182,MATCH($A8&amp;$J8,'IND tech'!$A$6:$A$182&amp;'IND tech'!$J$6:$J$182,0),MATCH(M$5,'IND tech'!$L$3:$V$3,0))</f>
        <v>25</v>
      </c>
      <c r="N8" s="383" cm="1">
        <f t="array" ref="N8">INDEX('IND tech'!$L$6:$V$182,MATCH($A8&amp;$J8,'IND tech'!$A$6:$A$182&amp;'IND tech'!$J$6:$J$182,0),MATCH(N$5,'IND tech'!$L$3:$V$3,0))+AJ8</f>
        <v>23.510370090791572</v>
      </c>
      <c r="O8" s="383" cm="1">
        <f t="array" ref="O8">INDEX('IND tech'!$L$6:$V$182,MATCH($A8&amp;$J8,'IND tech'!$A$6:$A$182&amp;'IND tech'!$J$6:$J$182,0),MATCH(O$5,'IND tech'!$L$3:$V$3,0))+AK8</f>
        <v>0.70802019363283797</v>
      </c>
      <c r="P8" s="383" cm="1">
        <f t="array" ref="P8">INDEX('IND tech'!$L$6:$V$182,MATCH($A8&amp;$J8,'IND tech'!$A$6:$A$182&amp;'IND tech'!$J$6:$J$182,0),MATCH(P$5,'IND tech'!$L$3:$V$3,0))+AL8</f>
        <v>2.8637468888888891</v>
      </c>
      <c r="Q8" s="91" cm="1">
        <f t="array" ref="Q8">INDEX('IND tech'!$L$6:$V$182,MATCH($A8&amp;$J8,'IND tech'!$A$6:$A$182&amp;'IND tech'!$J$6:$J$182,0),MATCH(Q$5,'IND tech'!$L$3:$V$3,0))</f>
        <v>3.1536000000000002E-2</v>
      </c>
      <c r="R8" s="91">
        <v>0.95</v>
      </c>
      <c r="S8" s="91" cm="1">
        <f t="array" ref="S8">INDEX('IND tech'!$L$6:$V$182,MATCH($A8&amp;$J8,'IND tech'!$A$6:$A$182&amp;'IND tech'!$J$6:$J$182,0),MATCH(S$5,'IND tech'!$L$3:$V$3,0))</f>
        <v>1</v>
      </c>
      <c r="T8" s="91"/>
      <c r="W8" s="91">
        <v>3</v>
      </c>
      <c r="Y8" s="82">
        <f>-1*PMT($Y$3,M8,N8*1000000)/Q8*R8/1000000</f>
        <v>45.335416304545568</v>
      </c>
      <c r="Z8" s="82">
        <f>O8*1000000/Q8*R8/1000000</f>
        <v>21.32861440738191</v>
      </c>
      <c r="AA8" s="91">
        <f>SUMIFS('DMS marginal prices'!$G$8:$G$70,'DMS marginal prices'!$F$8:$F$70,J8,'DMS marginal prices'!$D$8:$D$70,"INDNGA")/L8+SUMIFS('DMS marginal prices'!$G$8:$G$70,'DMS marginal prices'!$F$8:$F$70,J9,'DMS marginal prices'!$D$8:$D$70,G9)*U9</f>
        <v>137.92021776793266</v>
      </c>
      <c r="AC8" s="82">
        <f>SUM(Y8:AB11)*1000/(V11*0.9)</f>
        <v>791.63031096687587</v>
      </c>
      <c r="AE8" s="91"/>
      <c r="AF8" s="82" cm="1">
        <f t="array" ref="AF8">INDEX('IND tech'!$L$6:$V$182,MATCH($A8&amp;$J8,'IND tech'!$A$6:$A$182&amp;'IND tech'!$J$6:$J$182,0),MATCH(AF$5,'IND tech'!$L$3:$V$3,0))</f>
        <v>0.92</v>
      </c>
      <c r="AG8">
        <f>-AH8/(1+AH8)</f>
        <v>-0.46268403588386281</v>
      </c>
      <c r="AH8" s="91">
        <f>'401.c Post comb - Cement kiln'!$B$11*IND_CCS!AT8</f>
        <v>0.86110234346928272</v>
      </c>
      <c r="AI8" s="91"/>
      <c r="AJ8">
        <f>'401.c Post comb - Cement kiln'!$B$28*7.45*AT8</f>
        <v>23.104006454427935</v>
      </c>
      <c r="AK8" s="91">
        <f>'401.c Post comb - Cement kiln'!$B$34*IND_CCS!AT8*7.45</f>
        <v>0.69312019363283794</v>
      </c>
      <c r="AL8" s="91">
        <f>$AM$8*'401.c Post comb - Cement kiln'!$B$35*7.45</f>
        <v>0.58735800000000005</v>
      </c>
      <c r="AM8">
        <f>8760*3.6/1000000</f>
        <v>3.1536000000000002E-2</v>
      </c>
      <c r="AR8" s="91">
        <f>Emissions!$F$11/AF8</f>
        <v>61.902173913043477</v>
      </c>
      <c r="AS8">
        <f>IF(RIGHT(H8,2)="HT",$AZ$4/$AZ$5,0)*0.9</f>
        <v>225.2468001663492</v>
      </c>
      <c r="AT8" s="91">
        <f>$AM$8*(SUM($AR8:$AS8))*1000/8760</f>
        <v>1.0337363066858136</v>
      </c>
    </row>
    <row r="9" spans="1:53" s="91" customFormat="1">
      <c r="A9" s="91" t="str">
        <f>A8</f>
        <v>INDGDHTGASN1</v>
      </c>
      <c r="G9" s="91" t="s">
        <v>310</v>
      </c>
      <c r="J9" s="91">
        <v>2020</v>
      </c>
      <c r="U9" s="91">
        <f>AI9</f>
        <v>2.5843407667145341E-2</v>
      </c>
      <c r="AI9" s="91">
        <f>'401.c Post comb - Cement kiln'!$B$12*IND_CCS!AT8</f>
        <v>2.5843407667145341E-2</v>
      </c>
    </row>
    <row r="10" spans="1:53" s="91" customFormat="1">
      <c r="A10" s="91" t="str">
        <f>A9</f>
        <v>INDGDHTGASN1</v>
      </c>
      <c r="C10" s="91" t="s">
        <v>785</v>
      </c>
      <c r="I10" s="91" t="str">
        <f>'IND tech'!$I$132</f>
        <v>INDGWH</v>
      </c>
      <c r="J10" s="91">
        <v>2020</v>
      </c>
      <c r="V10" s="91" cm="1">
        <f t="array" ref="V10">INDEX('IND tech'!$L$6:$V$182,MATCH($A8&amp;$J8,'IND tech'!$A$6:$A$182&amp;'IND tech'!$J$6:$J$182,0),MATCH(V$5,'IND tech'!$L$3:$V$3,0))</f>
        <v>0.37999999999999995</v>
      </c>
      <c r="Y10" s="82"/>
      <c r="Z10" s="82"/>
      <c r="AC10" s="82"/>
    </row>
    <row r="11" spans="1:53" s="91" customFormat="1">
      <c r="A11" s="91" t="str">
        <f>A10</f>
        <v>INDGDHTGASN1</v>
      </c>
      <c r="I11" s="91" t="s">
        <v>596</v>
      </c>
      <c r="J11" s="91">
        <v>2020</v>
      </c>
      <c r="V11" s="91">
        <f>SUM(AR8:AS8)</f>
        <v>287.1489740793927</v>
      </c>
    </row>
    <row r="12" spans="1:53" s="91" customFormat="1">
      <c r="A12" s="91" t="str">
        <f>IF(C12&gt;0,LEFT(C12,12),A11)</f>
        <v>INDGDHTGASN1</v>
      </c>
      <c r="F12" s="91" t="str">
        <f>F8</f>
        <v>INDNGA, INDBGA, INDSNG1, INDSNG2, INDLPG</v>
      </c>
      <c r="H12" s="91" t="str">
        <f>H8</f>
        <v>IGDHT</v>
      </c>
      <c r="J12" s="91">
        <v>2030</v>
      </c>
      <c r="L12" s="82">
        <f>AF12+AG12</f>
        <v>0.50386672872448202</v>
      </c>
      <c r="N12" s="383" cm="1">
        <f t="array" ref="N12">INDEX('IND tech'!$L$6:$V$182,MATCH($A12&amp;$J12,'IND tech'!$A$6:$A$182&amp;'IND tech'!$J$6:$J$182,0),MATCH(N$5,'IND tech'!$L$3:$V$3,0))+AJ12</f>
        <v>20.315693974771715</v>
      </c>
      <c r="O12" s="383" cm="1">
        <f t="array" ref="O12">INDEX('IND tech'!$L$6:$V$182,MATCH($A12&amp;$J12,'IND tech'!$A$6:$A$182&amp;'IND tech'!$J$6:$J$182,0),MATCH(O$5,'IND tech'!$L$3:$V$3,0))+AK12</f>
        <v>0.61346672833406057</v>
      </c>
      <c r="P12" s="383" cm="1">
        <f t="array" ref="P12">INDEX('IND tech'!$L$6:$V$182,MATCH($A12&amp;$J12,'IND tech'!$A$6:$A$182&amp;'IND tech'!$J$6:$J$182,0),MATCH(P$5,'IND tech'!$L$3:$V$3,0))+AL12</f>
        <v>2.6568024444444447</v>
      </c>
      <c r="W12" s="91">
        <v>3</v>
      </c>
      <c r="Y12" s="82">
        <f>-1*PMT($Y$3,M8,N12*1000000)/Q8*R8/1000000</f>
        <v>39.175072119462925</v>
      </c>
      <c r="Z12" s="82">
        <f>O12*1000000/Q8*R8/1000000</f>
        <v>18.480257227211997</v>
      </c>
      <c r="AA12" s="91">
        <f>SUMIFS('DMS marginal prices'!$G$8:$G$70,'DMS marginal prices'!$F$8:$F$70,J12,'DMS marginal prices'!$D$8:$D$70,"INDNGA")/L12+SUMIFS('DMS marginal prices'!$G$8:$G$70,'DMS marginal prices'!$F$8:$F$70,J13,'DMS marginal prices'!$D$8:$D$70,G13)*U13</f>
        <v>179.31335033870945</v>
      </c>
      <c r="AC12" s="82">
        <f>SUM(Y12:AB15)*1000/(V15*0.9)</f>
        <v>919.07094925678177</v>
      </c>
      <c r="AF12" s="82" cm="1">
        <f t="array" ref="AF12">INDEX('IND tech'!$L$6:$V$182,MATCH($A12&amp;$J12,'IND tech'!$A$6:$A$182&amp;'IND tech'!$J$6:$J$182,0),MATCH(AF$5,'IND tech'!$L$3:$V$3,0))</f>
        <v>0.93</v>
      </c>
      <c r="AG12" s="91">
        <f>-AH12/(1+AH12)</f>
        <v>-0.42613327127551809</v>
      </c>
      <c r="AH12" s="91">
        <f>'401.c Post comb - Cement kiln'!$D$11*IND_CCS!AT12</f>
        <v>0.74256486732149984</v>
      </c>
      <c r="AJ12" s="91">
        <f>'401.c Post comb - Cement kiln'!$D$28*7.45*AT12</f>
        <v>19.977057611135351</v>
      </c>
      <c r="AK12" s="91">
        <f>'401.c Post comb - Cement kiln'!$D$34*IND_CCS!AT12*7.45</f>
        <v>0.59931172833406055</v>
      </c>
      <c r="AL12" s="91">
        <f>$AM$8*'401.c Post comb - Cement kiln'!$D$35*7.45</f>
        <v>0.58735800000000005</v>
      </c>
      <c r="AR12" s="91">
        <f>Emissions!$F$11/AF12</f>
        <v>61.236559139784944</v>
      </c>
      <c r="AS12" s="91">
        <f>IF(RIGHT(H12,2)="HT",$AZ$4/$AZ$5,0)*0.9</f>
        <v>225.2468001663492</v>
      </c>
      <c r="AT12" s="91">
        <f>$AM$8*(SUM($AR12:$AS12))*1000/8760</f>
        <v>1.0313400935020831</v>
      </c>
    </row>
    <row r="13" spans="1:53" s="91" customFormat="1">
      <c r="A13" s="91" t="str">
        <f>A12</f>
        <v>INDGDHTGASN1</v>
      </c>
      <c r="G13" s="91" t="s">
        <v>310</v>
      </c>
      <c r="J13" s="91">
        <v>2030</v>
      </c>
      <c r="U13" s="91">
        <f>AI13</f>
        <v>2.2689482057045827E-2</v>
      </c>
      <c r="AI13" s="91">
        <f>'401.c Post comb - Cement kiln'!$D$12*IND_CCS!AT12</f>
        <v>2.2689482057045827E-2</v>
      </c>
    </row>
    <row r="14" spans="1:53" s="91" customFormat="1">
      <c r="A14" s="91" t="str">
        <f>A13</f>
        <v>INDGDHTGASN1</v>
      </c>
      <c r="C14" s="91" t="s">
        <v>785</v>
      </c>
      <c r="I14" s="91" t="str">
        <f>'IND tech'!$I$132</f>
        <v>INDGWH</v>
      </c>
      <c r="J14" s="91">
        <v>2030</v>
      </c>
      <c r="V14" s="91" cm="1">
        <f t="array" ref="V14">INDEX('IND tech'!$L$6:$V$182,MATCH($A12&amp;$J12,'IND tech'!$A$6:$A$182&amp;'IND tech'!$J$6:$J$182,0),MATCH(V$5,'IND tech'!$L$3:$V$3,0))</f>
        <v>0.36999999999999994</v>
      </c>
      <c r="Y14" s="82"/>
      <c r="Z14" s="82"/>
      <c r="AC14" s="82"/>
    </row>
    <row r="15" spans="1:53" s="91" customFormat="1">
      <c r="A15" s="91" t="str">
        <f>A14</f>
        <v>INDGDHTGASN1</v>
      </c>
      <c r="I15" s="91" t="s">
        <v>596</v>
      </c>
      <c r="J15" s="91">
        <v>2030</v>
      </c>
      <c r="V15" s="91">
        <f>SUM(AR12:AS12)</f>
        <v>286.48335930613416</v>
      </c>
    </row>
    <row r="16" spans="1:53" s="91" customFormat="1">
      <c r="A16" s="91" t="str">
        <f>IF(C16&gt;0,LEFT(C16,12),A15)</f>
        <v>INDGDHTGASN1</v>
      </c>
      <c r="F16" s="91" t="str">
        <f>F12</f>
        <v>INDNGA, INDBGA, INDSNG1, INDSNG2, INDLPG</v>
      </c>
      <c r="H16" s="91" t="str">
        <f>H12</f>
        <v>IGDHT</v>
      </c>
      <c r="J16" s="91">
        <v>2050</v>
      </c>
      <c r="L16" s="82">
        <f>AF16+AG16</f>
        <v>0.53554415886573103</v>
      </c>
      <c r="N16" s="383" cm="1">
        <f t="array" ref="N16">INDEX('IND tech'!$L$6:$V$182,MATCH($A16&amp;$J16,'IND tech'!$A$6:$A$182&amp;'IND tech'!$J$6:$J$182,0),MATCH(N$5,'IND tech'!$L$3:$V$3,0))+AJ16</f>
        <v>14.137457484211717</v>
      </c>
      <c r="O16" s="383" cm="1">
        <f t="array" ref="O16">INDEX('IND tech'!$L$6:$V$182,MATCH($A16&amp;$J16,'IND tech'!$A$6:$A$182&amp;'IND tech'!$J$6:$J$182,0),MATCH(O$5,'IND tech'!$L$3:$V$3,0))+AK16</f>
        <v>0.42662963361726064</v>
      </c>
      <c r="P16" s="383" cm="1">
        <f t="array" ref="P16">INDEX('IND tech'!$L$6:$V$182,MATCH($A16&amp;$J16,'IND tech'!$A$6:$A$182&amp;'IND tech'!$J$6:$J$182,0),MATCH(P$5,'IND tech'!$L$3:$V$3,0))+AL16</f>
        <v>2.6568024444444447</v>
      </c>
      <c r="W16" s="91">
        <v>3</v>
      </c>
      <c r="Y16" s="82">
        <f>-1*PMT($Y$3,M8,N16*1000000)/Q8*R8/1000000</f>
        <v>27.261481553009968</v>
      </c>
      <c r="Z16" s="82">
        <f>O16*1000000/Q8*R8/1000000</f>
        <v>12.851920089307381</v>
      </c>
      <c r="AA16" s="91">
        <f>SUMIFS('DMS marginal prices'!$G$8:$G$70,'DMS marginal prices'!$F$8:$F$70,J16,'DMS marginal prices'!$D$8:$D$70,"INDNGA")/L16+SUMIFS('DMS marginal prices'!$G$8:$G$70,'DMS marginal prices'!$F$8:$F$70,J17,'DMS marginal prices'!$D$8:$D$70,G17)*U17</f>
        <v>238.51017625186842</v>
      </c>
      <c r="AC16" s="82">
        <f>SUM(Y16:AB19)*1000/(V19*0.9)</f>
        <v>1083.0902573234432</v>
      </c>
      <c r="AF16" s="82" cm="1">
        <f t="array" ref="AF16">INDEX('IND tech'!$L$6:$V$182,MATCH($A16&amp;$J16,'IND tech'!$A$6:$A$182&amp;'IND tech'!$J$6:$J$182,0),MATCH(AF$5,'IND tech'!$L$3:$V$3,0))</f>
        <v>0.94</v>
      </c>
      <c r="AG16" s="91">
        <f>-AH16/(1+AH16)</f>
        <v>-0.40445584113426891</v>
      </c>
      <c r="AH16" s="91">
        <f>'401.c Post comb - Cement kiln'!$F$11*IND_CCS!AT16</f>
        <v>0.67913660996120317</v>
      </c>
      <c r="AJ16" s="91">
        <f>'401.c Post comb - Cement kiln'!$F$28*7.45*AT16</f>
        <v>13.798821120575354</v>
      </c>
      <c r="AK16" s="91">
        <f>'401.c Post comb - Cement kiln'!$F$34*IND_CCS!AT16*7.45</f>
        <v>0.41396463361726066</v>
      </c>
      <c r="AL16" s="91">
        <f>$AM$8*'401.c Post comb - Cement kiln'!$F$35*7.45</f>
        <v>0.58735800000000005</v>
      </c>
      <c r="AR16" s="91">
        <f>Emissions!$F$11/AF16</f>
        <v>60.585106382978729</v>
      </c>
      <c r="AS16" s="91">
        <f>IF(RIGHT(H16,2)="HT",$AZ$4/$AZ$5,0)*0.9</f>
        <v>225.2468001663492</v>
      </c>
      <c r="AT16" s="91">
        <f>$AM$8*(SUM($AR16:$AS16))*1000/8760</f>
        <v>1.0289948635775805</v>
      </c>
    </row>
    <row r="17" spans="1:46" s="91" customFormat="1">
      <c r="A17" s="91" t="str">
        <f>A16</f>
        <v>INDGDHTGASN1</v>
      </c>
      <c r="G17" s="91" t="s">
        <v>310</v>
      </c>
      <c r="J17" s="91">
        <v>2050</v>
      </c>
      <c r="U17" s="91">
        <f>AI17</f>
        <v>1.8521907544396449E-2</v>
      </c>
      <c r="AI17" s="91">
        <f>'401.c Post comb - Cement kiln'!$F$12*IND_CCS!AT16</f>
        <v>1.8521907544396449E-2</v>
      </c>
    </row>
    <row r="18" spans="1:46" s="91" customFormat="1">
      <c r="A18" s="91" t="str">
        <f>A17</f>
        <v>INDGDHTGASN1</v>
      </c>
      <c r="C18" s="91" t="s">
        <v>785</v>
      </c>
      <c r="I18" s="91" t="str">
        <f>'IND tech'!$I$132</f>
        <v>INDGWH</v>
      </c>
      <c r="J18" s="91">
        <v>2050</v>
      </c>
      <c r="V18" s="91" cm="1">
        <f t="array" ref="V18">INDEX('IND tech'!$L$6:$V$182,MATCH($A16&amp;$J16,'IND tech'!$A$6:$A$182&amp;'IND tech'!$J$6:$J$182,0),MATCH(V$5,'IND tech'!$L$3:$V$3,0))</f>
        <v>0.36000000000000004</v>
      </c>
      <c r="Y18" s="82"/>
      <c r="Z18" s="82"/>
      <c r="AC18" s="82"/>
    </row>
    <row r="19" spans="1:46" s="91" customFormat="1">
      <c r="A19" s="91" t="str">
        <f>A18</f>
        <v>INDGDHTGASN1</v>
      </c>
      <c r="I19" s="91" t="s">
        <v>596</v>
      </c>
      <c r="J19" s="91">
        <v>2050</v>
      </c>
      <c r="V19" s="91">
        <f>SUM(AR16:AS16)</f>
        <v>285.83190654932793</v>
      </c>
    </row>
    <row r="20" spans="1:46" s="91" customFormat="1">
      <c r="A20" s="91" t="str">
        <f>IF(C20&gt;0,LEFT(C20,12),A19)</f>
        <v>INDGDMTGASN1</v>
      </c>
      <c r="C20" s="91" t="str">
        <f>'IND tech'!D135&amp;"CCS"</f>
        <v>INDGDMTGASN1CCS</v>
      </c>
      <c r="D20" s="91" t="str">
        <f>'IND tech'!E135&amp;"CCS"</f>
        <v>Industrial heating technology Glass &amp; Concrete MT - Gas boiler (Steam) - new 1CCS</v>
      </c>
      <c r="E20" s="91" t="s">
        <v>791</v>
      </c>
      <c r="F20" s="91" t="str">
        <f>'IND tech'!$G$132</f>
        <v>INDNGA, INDBGA, INDSNG1, INDSNG2, INDLPG</v>
      </c>
      <c r="H20" s="91" t="str">
        <f>"IGD"&amp;MID(C20,6,2)</f>
        <v>IGDMT</v>
      </c>
      <c r="J20" s="91">
        <v>2020</v>
      </c>
      <c r="K20" s="91">
        <v>2020</v>
      </c>
      <c r="L20" s="82">
        <f>AF20+AG20</f>
        <v>0.7634318560141542</v>
      </c>
      <c r="M20" s="91" cm="1">
        <f t="array" ref="M20">INDEX('IND tech'!$L$6:$V$182,MATCH($A20&amp;$J20,'IND tech'!$A$6:$A$182&amp;'IND tech'!$J$6:$J$182,0),MATCH(M$5,'IND tech'!$L$3:$V$3,0))</f>
        <v>25</v>
      </c>
      <c r="N20" s="383" cm="1">
        <f t="array" ref="N20">INDEX('IND tech'!$L$6:$V$182,MATCH($A20&amp;$J20,'IND tech'!$A$6:$A$182&amp;'IND tech'!$J$6:$J$182,0),MATCH(N$5,'IND tech'!$L$3:$V$3,0))+AJ20</f>
        <v>5.3870125494071148</v>
      </c>
      <c r="O20" s="383" cm="1">
        <f t="array" ref="O20">INDEX('IND tech'!$L$6:$V$182,MATCH($A20&amp;$J20,'IND tech'!$A$6:$A$182&amp;'IND tech'!$J$6:$J$182,0),MATCH(O$5,'IND tech'!$L$3:$V$3,0))+AK20</f>
        <v>0.16431946739130435</v>
      </c>
      <c r="P20" s="383" cm="1">
        <f t="array" ref="P20">INDEX('IND tech'!$L$6:$V$182,MATCH($A20&amp;$J20,'IND tech'!$A$6:$A$182&amp;'IND tech'!$J$6:$J$182,0),MATCH(P$5,'IND tech'!$L$3:$V$3,0))+AL20</f>
        <v>2.8637468888888891</v>
      </c>
      <c r="Q20" s="91" cm="1">
        <f t="array" ref="Q20">INDEX('IND tech'!$L$6:$V$182,MATCH($A20&amp;$J20,'IND tech'!$A$6:$A$182&amp;'IND tech'!$J$6:$J$182,0),MATCH(Q$5,'IND tech'!$L$3:$V$3,0))</f>
        <v>3.1536000000000002E-2</v>
      </c>
      <c r="R20" s="91">
        <v>0.95</v>
      </c>
      <c r="S20" s="91" cm="1">
        <f t="array" ref="S20">INDEX('IND tech'!$L$6:$V$182,MATCH($A20&amp;$J20,'IND tech'!$A$6:$A$182&amp;'IND tech'!$J$6:$J$182,0),MATCH(S$5,'IND tech'!$L$3:$V$3,0))</f>
        <v>0.97</v>
      </c>
      <c r="W20" s="91">
        <v>3</v>
      </c>
      <c r="Y20" s="82">
        <f>-1*PMT($Y$3,M20,N20*1000000)/Q20*R20/1000000</f>
        <v>10.387861000148135</v>
      </c>
      <c r="Z20" s="82">
        <f>O20*1000000/Q20*R20/1000000</f>
        <v>4.9500093233681861</v>
      </c>
      <c r="AA20" s="91">
        <f>SUMIFS('DMS marginal prices'!$G$8:$G$70,'DMS marginal prices'!$F$8:$F$70,J20,'DMS marginal prices'!$D$8:$D$70,"INDNGA")/L20+SUMIFS('DMS marginal prices'!$G$8:$G$70,'DMS marginal prices'!$F$8:$F$70,J21,'DMS marginal prices'!$D$8:$D$70,G21)*U21</f>
        <v>81.133964854465077</v>
      </c>
      <c r="AC20" s="82">
        <f>SUM(Y20:AB23)*1000/(V23*0.9)</f>
        <v>1731.6181516679912</v>
      </c>
      <c r="AF20" s="82" cm="1">
        <f t="array" ref="AF20">INDEX('IND tech'!$L$6:$V$182,MATCH($A20&amp;$J20,'IND tech'!$A$6:$A$182&amp;'IND tech'!$J$6:$J$182,0),MATCH(AF$5,'IND tech'!$L$3:$V$3,0))</f>
        <v>0.92</v>
      </c>
      <c r="AG20" s="91">
        <f>-AH20/(1+AH20)</f>
        <v>-0.1565681439858459</v>
      </c>
      <c r="AH20" s="91">
        <f>'401.c Post comb - Cement kiln'!$B$11*IND_CCS!AT20</f>
        <v>0.18563223913043478</v>
      </c>
      <c r="AJ20" s="91">
        <f>'401.c Post comb - Cement kiln'!$B$28*7.45*AT20</f>
        <v>4.9806489130434786</v>
      </c>
      <c r="AK20" s="91">
        <f>'401.c Post comb - Cement kiln'!$B$34*IND_CCS!AT20*7.45</f>
        <v>0.14941946739130435</v>
      </c>
      <c r="AL20" s="91">
        <f>$AM$8*'401.c Post comb - Cement kiln'!$B$35*7.45</f>
        <v>0.58735800000000005</v>
      </c>
      <c r="AM20" s="91">
        <f>8760*3.6/1000000</f>
        <v>3.1536000000000002E-2</v>
      </c>
      <c r="AR20" s="91">
        <f>Emissions!$F$11/AF20</f>
        <v>61.902173913043477</v>
      </c>
      <c r="AS20" s="91">
        <f>IF(RIGHT(H20,2)="HT",$AZ$4/$AZ$5,0)</f>
        <v>0</v>
      </c>
      <c r="AT20" s="91">
        <f>$AM$8*(SUM($AR20:$AS20))*1000/8760</f>
        <v>0.22284782608695652</v>
      </c>
    </row>
    <row r="21" spans="1:46" s="91" customFormat="1">
      <c r="A21" s="91" t="str">
        <f>A20</f>
        <v>INDGDMTGASN1</v>
      </c>
      <c r="G21" s="91" t="s">
        <v>310</v>
      </c>
      <c r="J21" s="91">
        <v>2020</v>
      </c>
      <c r="U21" s="91">
        <f>AI21</f>
        <v>5.5711956521739131E-3</v>
      </c>
      <c r="AI21" s="91">
        <f>'401.c Post comb - Cement kiln'!$B$12*IND_CCS!AT20</f>
        <v>5.5711956521739131E-3</v>
      </c>
    </row>
    <row r="22" spans="1:46" s="91" customFormat="1">
      <c r="A22" s="91" t="str">
        <f>A21</f>
        <v>INDGDMTGASN1</v>
      </c>
      <c r="C22" s="91" t="s">
        <v>785</v>
      </c>
      <c r="I22" s="91" t="str">
        <f>'IND tech'!$I$132</f>
        <v>INDGWH</v>
      </c>
      <c r="J22" s="91">
        <v>2020</v>
      </c>
      <c r="V22" s="91" cm="1">
        <f t="array" ref="V22">INDEX('IND tech'!$L$6:$V$182,MATCH($A20&amp;$J20,'IND tech'!$A$6:$A$182&amp;'IND tech'!$J$6:$J$182,0),MATCH(V$5,'IND tech'!$L$3:$V$3,0))</f>
        <v>0.27999999999999997</v>
      </c>
      <c r="Y22" s="82"/>
      <c r="Z22" s="82"/>
      <c r="AC22" s="82"/>
    </row>
    <row r="23" spans="1:46" s="91" customFormat="1">
      <c r="A23" s="91" t="str">
        <f>A22</f>
        <v>INDGDMTGASN1</v>
      </c>
      <c r="I23" s="91" t="s">
        <v>596</v>
      </c>
      <c r="J23" s="91">
        <v>2020</v>
      </c>
      <c r="V23" s="91">
        <f>SUM(AR20:AS20)</f>
        <v>61.902173913043477</v>
      </c>
    </row>
    <row r="24" spans="1:46" s="91" customFormat="1">
      <c r="A24" s="91" t="str">
        <f>IF(C24&gt;0,LEFT(C24,12),A23)</f>
        <v>INDGDMTGASN1</v>
      </c>
      <c r="F24" s="91" t="str">
        <f>F20</f>
        <v>INDNGA, INDBGA, INDSNG1, INDSNG2, INDLPG</v>
      </c>
      <c r="H24" s="91" t="str">
        <f>H20</f>
        <v>IGDMT</v>
      </c>
      <c r="J24" s="91">
        <v>2030</v>
      </c>
      <c r="L24" s="82">
        <f>AF24+AG24</f>
        <v>0.79301742070261871</v>
      </c>
      <c r="N24" s="383" cm="1">
        <f t="array" ref="N24">INDEX('IND tech'!$L$6:$V$182,MATCH($A24&amp;$J24,'IND tech'!$A$6:$A$182&amp;'IND tech'!$J$6:$J$182,0),MATCH(N$5,'IND tech'!$L$3:$V$3,0))+AJ24</f>
        <v>4.6087841055718481</v>
      </c>
      <c r="O24" s="383" cm="1">
        <f t="array" ref="O24">INDEX('IND tech'!$L$6:$V$182,MATCH($A24&amp;$J24,'IND tech'!$A$6:$A$182&amp;'IND tech'!$J$6:$J$182,0),MATCH(O$5,'IND tech'!$L$3:$V$3,0))+AK24</f>
        <v>0.14225943225806453</v>
      </c>
      <c r="P24" s="383" cm="1">
        <f t="array" ref="P24">INDEX('IND tech'!$L$6:$V$182,MATCH($A24&amp;$J24,'IND tech'!$A$6:$A$182&amp;'IND tech'!$J$6:$J$182,0),MATCH(P$5,'IND tech'!$L$3:$V$3,0))+AL24</f>
        <v>2.6568024444444447</v>
      </c>
      <c r="W24" s="91">
        <v>3</v>
      </c>
      <c r="Y24" s="82">
        <f>-1*PMT($Y$3,M20,N24*1000000)/Q20*R20/1000000</f>
        <v>8.8871908556518004</v>
      </c>
      <c r="Z24" s="82">
        <f>O24*1000000/Q20*R20/1000000</f>
        <v>4.2854661544000914</v>
      </c>
      <c r="AA24" s="91">
        <f>SUMIFS('DMS marginal prices'!$G$8:$G$70,'DMS marginal prices'!$F$8:$F$70,J24,'DMS marginal prices'!$D$8:$D$70,"INDNGA")/L24+SUMIFS('DMS marginal prices'!$G$8:$G$70,'DMS marginal prices'!$F$8:$F$70,J25,'DMS marginal prices'!$D$8:$D$70,G25)*U25</f>
        <v>112.38125398029723</v>
      </c>
      <c r="AC24" s="82">
        <f>SUM(Y24:AB27)*1000/(V27*0.9)</f>
        <v>2278.1218851043741</v>
      </c>
      <c r="AF24" s="82" cm="1">
        <f t="array" ref="AF24">INDEX('IND tech'!$L$6:$V$182,MATCH($A24&amp;$J24,'IND tech'!$A$6:$A$182&amp;'IND tech'!$J$6:$J$182,0),MATCH(AF$5,'IND tech'!$L$3:$V$3,0))</f>
        <v>0.93</v>
      </c>
      <c r="AG24" s="91">
        <f>-AH24/(1+AH24)</f>
        <v>-0.13698257929738131</v>
      </c>
      <c r="AH24" s="91">
        <f>'401.c Post comb - Cement kiln'!$D$11*IND_CCS!AT24</f>
        <v>0.15872516129032258</v>
      </c>
      <c r="AJ24" s="91">
        <f>'401.c Post comb - Cement kiln'!$D$28*7.45*AT24</f>
        <v>4.2701477419354843</v>
      </c>
      <c r="AK24" s="91">
        <f>'401.c Post comb - Cement kiln'!$D$34*IND_CCS!AT24*7.45</f>
        <v>0.12810443225806453</v>
      </c>
      <c r="AL24" s="91">
        <f>$AM$8*'401.c Post comb - Cement kiln'!$D$35*7.45</f>
        <v>0.58735800000000005</v>
      </c>
      <c r="AR24" s="91">
        <f>Emissions!$F$11/AF24</f>
        <v>61.236559139784944</v>
      </c>
      <c r="AS24" s="91">
        <f>IF(RIGHT(H24,2)="HT",$AZ$4/$AZ$5,0)</f>
        <v>0</v>
      </c>
      <c r="AT24" s="91">
        <f>$AM$8*(SUM($AR24:$AS24))*1000/8760</f>
        <v>0.22045161290322582</v>
      </c>
    </row>
    <row r="25" spans="1:46" s="91" customFormat="1">
      <c r="A25" s="91" t="str">
        <f>A24</f>
        <v>INDGDMTGASN1</v>
      </c>
      <c r="G25" s="91" t="s">
        <v>310</v>
      </c>
      <c r="J25" s="91">
        <v>2030</v>
      </c>
      <c r="U25" s="91">
        <f>AI25</f>
        <v>4.8499354838709681E-3</v>
      </c>
      <c r="AI25" s="91">
        <f>'401.c Post comb - Cement kiln'!$D$12*IND_CCS!AT24</f>
        <v>4.8499354838709681E-3</v>
      </c>
    </row>
    <row r="26" spans="1:46" s="91" customFormat="1">
      <c r="A26" s="91" t="str">
        <f>A25</f>
        <v>INDGDMTGASN1</v>
      </c>
      <c r="C26" s="91" t="s">
        <v>785</v>
      </c>
      <c r="I26" s="91" t="str">
        <f>'IND tech'!$I$132</f>
        <v>INDGWH</v>
      </c>
      <c r="J26" s="91">
        <v>2030</v>
      </c>
      <c r="V26" s="91" cm="1">
        <f t="array" ref="V26">INDEX('IND tech'!$L$6:$V$182,MATCH($A24&amp;$J24,'IND tech'!$A$6:$A$182&amp;'IND tech'!$J$6:$J$182,0),MATCH(V$5,'IND tech'!$L$3:$V$3,0))</f>
        <v>0.26999999999999996</v>
      </c>
      <c r="Y26" s="82"/>
      <c r="Z26" s="82"/>
      <c r="AC26" s="82"/>
    </row>
    <row r="27" spans="1:46" s="91" customFormat="1">
      <c r="A27" s="91" t="str">
        <f>A26</f>
        <v>INDGDMTGASN1</v>
      </c>
      <c r="I27" s="91" t="s">
        <v>596</v>
      </c>
      <c r="J27" s="91">
        <v>2030</v>
      </c>
      <c r="V27" s="91">
        <f>SUM(AR24:AS24)</f>
        <v>61.236559139784944</v>
      </c>
    </row>
    <row r="28" spans="1:46" s="91" customFormat="1">
      <c r="A28" s="91" t="str">
        <f>IF(C28&gt;0,LEFT(C28,12),A27)</f>
        <v>INDGDMTGASN1</v>
      </c>
      <c r="F28" s="91" t="str">
        <f>F24</f>
        <v>INDNGA, INDBGA, INDSNG1, INDSNG2, INDLPG</v>
      </c>
      <c r="H28" s="91" t="str">
        <f>H24</f>
        <v>IGDMT</v>
      </c>
      <c r="J28" s="91">
        <v>2050</v>
      </c>
      <c r="L28" s="82">
        <f>AF28+AG28</f>
        <v>0.81416391801012011</v>
      </c>
      <c r="N28" s="383" cm="1">
        <f t="array" ref="N28">INDEX('IND tech'!$L$6:$V$182,MATCH($A28&amp;$J28,'IND tech'!$A$6:$A$182&amp;'IND tech'!$J$6:$J$182,0),MATCH(N$5,'IND tech'!$L$3:$V$3,0))+AJ28</f>
        <v>3.2634429593810448</v>
      </c>
      <c r="O28" s="383" cm="1">
        <f t="array" ref="O28">INDEX('IND tech'!$L$6:$V$182,MATCH($A28&amp;$J28,'IND tech'!$A$6:$A$182&amp;'IND tech'!$J$6:$J$182,0),MATCH(O$5,'IND tech'!$L$3:$V$3,0))+AK28</f>
        <v>0.10040919787234043</v>
      </c>
      <c r="P28" s="383" cm="1">
        <f t="array" ref="P28">INDEX('IND tech'!$L$6:$V$182,MATCH($A28&amp;$J28,'IND tech'!$A$6:$A$182&amp;'IND tech'!$J$6:$J$182,0),MATCH(P$5,'IND tech'!$L$3:$V$3,0))+AL28</f>
        <v>2.6568024444444447</v>
      </c>
      <c r="W28" s="91">
        <v>3</v>
      </c>
      <c r="Y28" s="82">
        <f>-1*PMT($Y$3,M20,N28*1000000)/Q20*R20/1000000</f>
        <v>6.2929483703715077</v>
      </c>
      <c r="Z28" s="82">
        <f>O28*1000000/Q20*R20/1000000</f>
        <v>3.0247570388991436</v>
      </c>
      <c r="AA28" s="91">
        <f>SUMIFS('DMS marginal prices'!$G$8:$G$70,'DMS marginal prices'!$F$8:$F$70,J28,'DMS marginal prices'!$D$8:$D$70,"INDNGA")/L28+SUMIFS('DMS marginal prices'!$G$8:$G$70,'DMS marginal prices'!$F$8:$F$70,J29,'DMS marginal prices'!$D$8:$D$70,G29)*U29</f>
        <v>155.81808523044069</v>
      </c>
      <c r="AC28" s="82">
        <f>SUM(Y28:AB31)*1000/(V31*0.9)</f>
        <v>3028.5365954800245</v>
      </c>
      <c r="AF28" s="82" cm="1">
        <f t="array" ref="AF28">INDEX('IND tech'!$L$6:$V$182,MATCH($A28&amp;$J28,'IND tech'!$A$6:$A$182&amp;'IND tech'!$J$6:$J$182,0),MATCH(AF$5,'IND tech'!$L$3:$V$3,0))</f>
        <v>0.94</v>
      </c>
      <c r="AG28" s="91">
        <f>-AH28/(1+AH28)</f>
        <v>-0.12583608198987978</v>
      </c>
      <c r="AH28" s="91">
        <f>'401.c Post comb - Cement kiln'!$F$11*IND_CCS!AT28</f>
        <v>0.14395021276595746</v>
      </c>
      <c r="AJ28" s="91">
        <f>'401.c Post comb - Cement kiln'!$F$28*7.45*AT28</f>
        <v>2.9248065957446809</v>
      </c>
      <c r="AK28" s="91">
        <f>'401.c Post comb - Cement kiln'!$F$34*IND_CCS!AT28*7.45</f>
        <v>8.7744197872340432E-2</v>
      </c>
      <c r="AL28" s="91">
        <f>$AM$8*'401.c Post comb - Cement kiln'!$F$35*7.45</f>
        <v>0.58735800000000005</v>
      </c>
      <c r="AR28" s="91">
        <f>Emissions!$F$11/AF28</f>
        <v>60.585106382978729</v>
      </c>
      <c r="AS28" s="91">
        <f>IF(RIGHT(H28,2)="HT",$AZ$4/$AZ$5,0)</f>
        <v>0</v>
      </c>
      <c r="AT28" s="91">
        <f>$AM$8*(SUM($AR28:$AS28))*1000/8760</f>
        <v>0.21810638297872342</v>
      </c>
    </row>
    <row r="29" spans="1:46" s="91" customFormat="1">
      <c r="A29" s="91" t="str">
        <f>A28</f>
        <v>INDGDMTGASN1</v>
      </c>
      <c r="G29" s="91" t="s">
        <v>310</v>
      </c>
      <c r="J29" s="91">
        <v>2050</v>
      </c>
      <c r="U29" s="91">
        <f>AI29</f>
        <v>3.9259148936170215E-3</v>
      </c>
      <c r="AI29" s="91">
        <f>'401.c Post comb - Cement kiln'!$F$12*IND_CCS!AT28</f>
        <v>3.9259148936170215E-3</v>
      </c>
    </row>
    <row r="30" spans="1:46" s="91" customFormat="1">
      <c r="A30" s="91" t="str">
        <f>A29</f>
        <v>INDGDMTGASN1</v>
      </c>
      <c r="C30" s="91" t="s">
        <v>785</v>
      </c>
      <c r="I30" s="91" t="str">
        <f>'IND tech'!$I$132</f>
        <v>INDGWH</v>
      </c>
      <c r="J30" s="91">
        <v>2050</v>
      </c>
      <c r="V30" s="91" cm="1">
        <f t="array" ref="V30">INDEX('IND tech'!$L$6:$V$182,MATCH($A28&amp;$J28,'IND tech'!$A$6:$A$182&amp;'IND tech'!$J$6:$J$182,0),MATCH(V$5,'IND tech'!$L$3:$V$3,0))</f>
        <v>0.26000000000000006</v>
      </c>
      <c r="Y30" s="82"/>
      <c r="Z30" s="82"/>
      <c r="AC30" s="82"/>
    </row>
    <row r="31" spans="1:46" s="91" customFormat="1">
      <c r="A31" s="91" t="str">
        <f>A30</f>
        <v>INDGDMTGASN1</v>
      </c>
      <c r="I31" s="91" t="s">
        <v>596</v>
      </c>
      <c r="J31" s="91">
        <v>2050</v>
      </c>
      <c r="V31" s="91">
        <f>SUM(AR28:AS28)</f>
        <v>60.585106382978729</v>
      </c>
    </row>
    <row r="32" spans="1:46" s="91" customFormat="1">
      <c r="A32" s="91" t="str">
        <f>IF(C32&gt;0,LEFT(C32,12),A31)</f>
        <v>INDGDRHGASN1</v>
      </c>
      <c r="C32" s="91" t="str">
        <f>'IND tech'!D138&amp;"CCS"</f>
        <v>INDGDRHGASN1CCS</v>
      </c>
      <c r="D32" s="91" t="str">
        <f>'IND tech'!E138&amp;"CCS"</f>
        <v>Industrial heating technology Glass &amp; Concrete RH - Gas boiler (Steam) - new 1CCS</v>
      </c>
      <c r="E32" s="91" t="s">
        <v>791</v>
      </c>
      <c r="F32" s="91" t="str">
        <f>'IND tech'!$G$132</f>
        <v>INDNGA, INDBGA, INDSNG1, INDSNG2, INDLPG</v>
      </c>
      <c r="H32" s="91" t="str">
        <f>"IGD"&amp;MID(C32,6,2)</f>
        <v>IGDRH</v>
      </c>
      <c r="J32" s="91">
        <v>2020</v>
      </c>
      <c r="K32" s="91">
        <v>2020</v>
      </c>
      <c r="L32" s="82">
        <f>AF32+AG32</f>
        <v>0.7634318560141542</v>
      </c>
      <c r="M32" s="91" cm="1">
        <f t="array" ref="M32">INDEX('IND tech'!$L$6:$V$182,MATCH($A32&amp;$J32,'IND tech'!$A$6:$A$182&amp;'IND tech'!$J$6:$J$182,0),MATCH(M$5,'IND tech'!$L$3:$V$3,0))</f>
        <v>25</v>
      </c>
      <c r="N32" s="383" cm="1">
        <f t="array" ref="N32">INDEX('IND tech'!$L$6:$V$182,MATCH($A32&amp;$J32,'IND tech'!$A$6:$A$182&amp;'IND tech'!$J$6:$J$182,0),MATCH(N$5,'IND tech'!$L$3:$V$3,0))+AJ32</f>
        <v>5.3870125494071148</v>
      </c>
      <c r="O32" s="383" cm="1">
        <f t="array" ref="O32">INDEX('IND tech'!$L$6:$V$182,MATCH($A32&amp;$J32,'IND tech'!$A$6:$A$182&amp;'IND tech'!$J$6:$J$182,0),MATCH(O$5,'IND tech'!$L$3:$V$3,0))+AK32</f>
        <v>0.16431946739130435</v>
      </c>
      <c r="P32" s="383" cm="1">
        <f t="array" ref="P32">INDEX('IND tech'!$L$6:$V$182,MATCH($A32&amp;$J32,'IND tech'!$A$6:$A$182&amp;'IND tech'!$J$6:$J$182,0),MATCH(P$5,'IND tech'!$L$3:$V$3,0))+AL32</f>
        <v>2.8637468888888891</v>
      </c>
      <c r="Q32" s="91" cm="1">
        <f t="array" ref="Q32">INDEX('IND tech'!$L$6:$V$182,MATCH($A32&amp;$J32,'IND tech'!$A$6:$A$182&amp;'IND tech'!$J$6:$J$182,0),MATCH(Q$5,'IND tech'!$L$3:$V$3,0))</f>
        <v>3.1536000000000002E-2</v>
      </c>
      <c r="R32" s="91">
        <v>0.95</v>
      </c>
      <c r="S32" s="91" cm="1">
        <f t="array" ref="S32">INDEX('IND tech'!$L$6:$V$182,MATCH($A32&amp;$J32,'IND tech'!$A$6:$A$182&amp;'IND tech'!$J$6:$J$182,0),MATCH(S$5,'IND tech'!$L$3:$V$3,0))</f>
        <v>1</v>
      </c>
      <c r="W32" s="91">
        <v>3</v>
      </c>
      <c r="Y32" s="82">
        <f>-1*PMT($Y$3,M32,N32*1000000)/Q32*R32/1000000</f>
        <v>10.387861000148135</v>
      </c>
      <c r="Z32" s="82">
        <f>O32*1000000/Q32*R32/1000000</f>
        <v>4.9500093233681861</v>
      </c>
      <c r="AA32" s="91">
        <f>SUMIFS('DMS marginal prices'!$G$8:$G$70,'DMS marginal prices'!$F$8:$F$70,J32,'DMS marginal prices'!$D$8:$D$70,"INDNGA")/L32+SUMIFS('DMS marginal prices'!$G$8:$G$70,'DMS marginal prices'!$F$8:$F$70,J33,'DMS marginal prices'!$D$8:$D$70,G33)*U33</f>
        <v>81.133964854465077</v>
      </c>
      <c r="AC32" s="82">
        <f>SUM(Y32:AB35)*1000/(V35*0.9)</f>
        <v>1731.6181516679912</v>
      </c>
      <c r="AF32" s="82" cm="1">
        <f t="array" ref="AF32">INDEX('IND tech'!$L$6:$V$182,MATCH($A32&amp;$J32,'IND tech'!$A$6:$A$182&amp;'IND tech'!$J$6:$J$182,0),MATCH(AF$5,'IND tech'!$L$3:$V$3,0))</f>
        <v>0.92</v>
      </c>
      <c r="AG32" s="91">
        <f>-AH32/(1+AH32)</f>
        <v>-0.1565681439858459</v>
      </c>
      <c r="AH32" s="91">
        <f>'401.c Post comb - Cement kiln'!$B$11*IND_CCS!AT32</f>
        <v>0.18563223913043478</v>
      </c>
      <c r="AJ32" s="91">
        <f>'401.c Post comb - Cement kiln'!$B$28*7.45*AT32</f>
        <v>4.9806489130434786</v>
      </c>
      <c r="AK32" s="91">
        <f>'401.c Post comb - Cement kiln'!$B$34*IND_CCS!AT32*7.45</f>
        <v>0.14941946739130435</v>
      </c>
      <c r="AL32" s="91">
        <f>$AM$8*'401.c Post comb - Cement kiln'!$B$35*7.45</f>
        <v>0.58735800000000005</v>
      </c>
      <c r="AM32" s="91">
        <f>8760*3.6/1000000</f>
        <v>3.1536000000000002E-2</v>
      </c>
      <c r="AR32" s="91">
        <f>Emissions!$F$11/AF32</f>
        <v>61.902173913043477</v>
      </c>
      <c r="AS32" s="91">
        <f>IF(RIGHT(H32,2)="HT",$AZ$4/$AZ$5,0)</f>
        <v>0</v>
      </c>
      <c r="AT32" s="91">
        <f>$AM$8*(SUM($AR32:$AS32))*1000/8760</f>
        <v>0.22284782608695652</v>
      </c>
    </row>
    <row r="33" spans="1:46" s="91" customFormat="1">
      <c r="A33" s="91" t="str">
        <f>A32</f>
        <v>INDGDRHGASN1</v>
      </c>
      <c r="G33" s="91" t="s">
        <v>310</v>
      </c>
      <c r="J33" s="91">
        <v>2020</v>
      </c>
      <c r="U33" s="91">
        <f>AI33</f>
        <v>5.5711956521739131E-3</v>
      </c>
      <c r="AI33" s="91">
        <f>'401.c Post comb - Cement kiln'!$B$12*IND_CCS!AT32</f>
        <v>5.5711956521739131E-3</v>
      </c>
    </row>
    <row r="34" spans="1:46" s="91" customFormat="1">
      <c r="A34" s="91" t="str">
        <f>A33</f>
        <v>INDGDRHGASN1</v>
      </c>
      <c r="C34" s="91" t="s">
        <v>785</v>
      </c>
      <c r="I34" s="91" t="str">
        <f>'IND tech'!$I$132</f>
        <v>INDGWH</v>
      </c>
      <c r="J34" s="91">
        <v>2020</v>
      </c>
      <c r="V34" s="91" cm="1">
        <f t="array" ref="V34">INDEX('IND tech'!$L$6:$V$182,MATCH($A32&amp;$J32,'IND tech'!$A$6:$A$182&amp;'IND tech'!$J$6:$J$182,0),MATCH(V$5,'IND tech'!$L$3:$V$3,0))</f>
        <v>7.999999999999996E-2</v>
      </c>
      <c r="Y34" s="82"/>
      <c r="Z34" s="82"/>
      <c r="AC34" s="82"/>
    </row>
    <row r="35" spans="1:46" s="91" customFormat="1">
      <c r="A35" s="91" t="str">
        <f>A34</f>
        <v>INDGDRHGASN1</v>
      </c>
      <c r="I35" s="91" t="s">
        <v>596</v>
      </c>
      <c r="J35" s="91">
        <v>2020</v>
      </c>
      <c r="V35" s="91">
        <f>SUM(AR32:AS32)</f>
        <v>61.902173913043477</v>
      </c>
    </row>
    <row r="36" spans="1:46" s="91" customFormat="1">
      <c r="A36" s="91" t="str">
        <f>IF(C36&gt;0,LEFT(C36,12),A35)</f>
        <v>INDGDRHGASN1</v>
      </c>
      <c r="F36" s="91" t="str">
        <f>F32</f>
        <v>INDNGA, INDBGA, INDSNG1, INDSNG2, INDLPG</v>
      </c>
      <c r="H36" s="91" t="str">
        <f>H32</f>
        <v>IGDRH</v>
      </c>
      <c r="J36" s="91">
        <v>2030</v>
      </c>
      <c r="L36" s="82">
        <f>AF36+AG36</f>
        <v>0.79301742070261871</v>
      </c>
      <c r="N36" s="383" cm="1">
        <f t="array" ref="N36">INDEX('IND tech'!$L$6:$V$182,MATCH($A36&amp;$J36,'IND tech'!$A$6:$A$182&amp;'IND tech'!$J$6:$J$182,0),MATCH(N$5,'IND tech'!$L$3:$V$3,0))+AJ36</f>
        <v>4.6087841055718481</v>
      </c>
      <c r="O36" s="383" cm="1">
        <f t="array" ref="O36">INDEX('IND tech'!$L$6:$V$182,MATCH($A36&amp;$J36,'IND tech'!$A$6:$A$182&amp;'IND tech'!$J$6:$J$182,0),MATCH(O$5,'IND tech'!$L$3:$V$3,0))+AK36</f>
        <v>0.14225943225806453</v>
      </c>
      <c r="P36" s="383" cm="1">
        <f t="array" ref="P36">INDEX('IND tech'!$L$6:$V$182,MATCH($A36&amp;$J36,'IND tech'!$A$6:$A$182&amp;'IND tech'!$J$6:$J$182,0),MATCH(P$5,'IND tech'!$L$3:$V$3,0))+AL36</f>
        <v>2.6568024444444447</v>
      </c>
      <c r="W36" s="91">
        <v>3</v>
      </c>
      <c r="Y36" s="82">
        <f>-1*PMT($Y$3,M32,N36*1000000)/Q32*R32/1000000</f>
        <v>8.8871908556518004</v>
      </c>
      <c r="Z36" s="82">
        <f>O36*1000000/Q32*R32/1000000</f>
        <v>4.2854661544000914</v>
      </c>
      <c r="AA36" s="91">
        <f>SUMIFS('DMS marginal prices'!$G$8:$G$70,'DMS marginal prices'!$F$8:$F$70,J36,'DMS marginal prices'!$D$8:$D$70,"INDNGA")/L36+SUMIFS('DMS marginal prices'!$G$8:$G$70,'DMS marginal prices'!$F$8:$F$70,J37,'DMS marginal prices'!$D$8:$D$70,G37)*U37</f>
        <v>112.38125398029723</v>
      </c>
      <c r="AC36" s="82">
        <f>SUM(Y36:AB39)*1000/(V39*0.9)</f>
        <v>2278.1218851043741</v>
      </c>
      <c r="AF36" s="82" cm="1">
        <f t="array" ref="AF36">INDEX('IND tech'!$L$6:$V$182,MATCH($A36&amp;$J36,'IND tech'!$A$6:$A$182&amp;'IND tech'!$J$6:$J$182,0),MATCH(AF$5,'IND tech'!$L$3:$V$3,0))</f>
        <v>0.93</v>
      </c>
      <c r="AG36" s="91">
        <f>-AH36/(1+AH36)</f>
        <v>-0.13698257929738131</v>
      </c>
      <c r="AH36" s="91">
        <f>'401.c Post comb - Cement kiln'!$D$11*IND_CCS!AT36</f>
        <v>0.15872516129032258</v>
      </c>
      <c r="AJ36" s="91">
        <f>'401.c Post comb - Cement kiln'!$D$28*7.45*AT36</f>
        <v>4.2701477419354843</v>
      </c>
      <c r="AK36" s="91">
        <f>'401.c Post comb - Cement kiln'!$D$34*IND_CCS!AT36*7.45</f>
        <v>0.12810443225806453</v>
      </c>
      <c r="AL36" s="91">
        <f>$AM$8*'401.c Post comb - Cement kiln'!$D$35*7.45</f>
        <v>0.58735800000000005</v>
      </c>
      <c r="AR36" s="91">
        <f>Emissions!$F$11/AF36</f>
        <v>61.236559139784944</v>
      </c>
      <c r="AS36" s="91">
        <f>IF(RIGHT(H36,2)="HT",$AZ$4/$AZ$5,0)</f>
        <v>0</v>
      </c>
      <c r="AT36" s="91">
        <f>$AM$8*(SUM($AR36:$AS36))*1000/8760</f>
        <v>0.22045161290322582</v>
      </c>
    </row>
    <row r="37" spans="1:46" s="91" customFormat="1">
      <c r="A37" s="91" t="str">
        <f>A36</f>
        <v>INDGDRHGASN1</v>
      </c>
      <c r="G37" s="91" t="s">
        <v>310</v>
      </c>
      <c r="J37" s="91">
        <v>2030</v>
      </c>
      <c r="U37" s="91">
        <f>AI37</f>
        <v>4.8499354838709681E-3</v>
      </c>
      <c r="AI37" s="91">
        <f>'401.c Post comb - Cement kiln'!$D$12*IND_CCS!AT36</f>
        <v>4.8499354838709681E-3</v>
      </c>
    </row>
    <row r="38" spans="1:46" s="91" customFormat="1">
      <c r="A38" s="91" t="str">
        <f>A37</f>
        <v>INDGDRHGASN1</v>
      </c>
      <c r="C38" s="91" t="s">
        <v>785</v>
      </c>
      <c r="I38" s="91" t="str">
        <f>'IND tech'!$I$132</f>
        <v>INDGWH</v>
      </c>
      <c r="J38" s="91">
        <v>2030</v>
      </c>
      <c r="V38" s="91" cm="1">
        <f t="array" ref="V38">INDEX('IND tech'!$L$6:$V$182,MATCH($A36&amp;$J36,'IND tech'!$A$6:$A$182&amp;'IND tech'!$J$6:$J$182,0),MATCH(V$5,'IND tech'!$L$3:$V$3,0))</f>
        <v>6.9999999999999951E-2</v>
      </c>
      <c r="Y38" s="82"/>
      <c r="Z38" s="82"/>
      <c r="AC38" s="82"/>
    </row>
    <row r="39" spans="1:46" s="91" customFormat="1">
      <c r="A39" s="91" t="str">
        <f>A38</f>
        <v>INDGDRHGASN1</v>
      </c>
      <c r="I39" s="91" t="s">
        <v>596</v>
      </c>
      <c r="J39" s="91">
        <v>2030</v>
      </c>
      <c r="V39" s="91">
        <f>SUM(AR36:AS36)</f>
        <v>61.236559139784944</v>
      </c>
    </row>
    <row r="40" spans="1:46" s="91" customFormat="1">
      <c r="A40" s="91" t="str">
        <f>IF(C40&gt;0,LEFT(C40,12),A39)</f>
        <v>INDGDRHGASN1</v>
      </c>
      <c r="F40" s="91" t="str">
        <f>F36</f>
        <v>INDNGA, INDBGA, INDSNG1, INDSNG2, INDLPG</v>
      </c>
      <c r="H40" s="91" t="str">
        <f>H36</f>
        <v>IGDRH</v>
      </c>
      <c r="J40" s="91">
        <v>2050</v>
      </c>
      <c r="L40" s="82">
        <f>AF40+AG40</f>
        <v>0.81416391801012011</v>
      </c>
      <c r="N40" s="383" cm="1">
        <f t="array" ref="N40">INDEX('IND tech'!$L$6:$V$182,MATCH($A40&amp;$J40,'IND tech'!$A$6:$A$182&amp;'IND tech'!$J$6:$J$182,0),MATCH(N$5,'IND tech'!$L$3:$V$3,0))+AJ40</f>
        <v>3.2634429593810448</v>
      </c>
      <c r="O40" s="383" cm="1">
        <f t="array" ref="O40">INDEX('IND tech'!$L$6:$V$182,MATCH($A40&amp;$J40,'IND tech'!$A$6:$A$182&amp;'IND tech'!$J$6:$J$182,0),MATCH(O$5,'IND tech'!$L$3:$V$3,0))+AK40</f>
        <v>0.10040919787234043</v>
      </c>
      <c r="P40" s="383" cm="1">
        <f t="array" ref="P40">INDEX('IND tech'!$L$6:$V$182,MATCH($A40&amp;$J40,'IND tech'!$A$6:$A$182&amp;'IND tech'!$J$6:$J$182,0),MATCH(P$5,'IND tech'!$L$3:$V$3,0))+AL40</f>
        <v>2.6568024444444447</v>
      </c>
      <c r="W40" s="91">
        <v>3</v>
      </c>
      <c r="Y40" s="82">
        <f>-1*PMT($Y$3,M32,N40*1000000)/Q32*R32/1000000</f>
        <v>6.2929483703715077</v>
      </c>
      <c r="Z40" s="82">
        <f>O40*1000000/Q32*R32/1000000</f>
        <v>3.0247570388991436</v>
      </c>
      <c r="AA40" s="91">
        <f>SUMIFS('DMS marginal prices'!$G$8:$G$70,'DMS marginal prices'!$F$8:$F$70,J40,'DMS marginal prices'!$D$8:$D$70,"INDNGA")/L40+SUMIFS('DMS marginal prices'!$G$8:$G$70,'DMS marginal prices'!$F$8:$F$70,J41,'DMS marginal prices'!$D$8:$D$70,G41)*U41</f>
        <v>155.81808523044069</v>
      </c>
      <c r="AC40" s="82">
        <f>SUM(Y40:AB43)*1000/(V43*0.9)</f>
        <v>3028.5365954800245</v>
      </c>
      <c r="AF40" s="82" cm="1">
        <f t="array" ref="AF40">INDEX('IND tech'!$L$6:$V$182,MATCH($A40&amp;$J40,'IND tech'!$A$6:$A$182&amp;'IND tech'!$J$6:$J$182,0),MATCH(AF$5,'IND tech'!$L$3:$V$3,0))</f>
        <v>0.94</v>
      </c>
      <c r="AG40" s="91">
        <f>-AH40/(1+AH40)</f>
        <v>-0.12583608198987978</v>
      </c>
      <c r="AH40" s="91">
        <f>'401.c Post comb - Cement kiln'!$F$11*IND_CCS!AT40</f>
        <v>0.14395021276595746</v>
      </c>
      <c r="AJ40" s="91">
        <f>'401.c Post comb - Cement kiln'!$F$28*7.45*AT40</f>
        <v>2.9248065957446809</v>
      </c>
      <c r="AK40" s="91">
        <f>'401.c Post comb - Cement kiln'!$F$34*IND_CCS!AT40*7.45</f>
        <v>8.7744197872340432E-2</v>
      </c>
      <c r="AL40" s="91">
        <f>$AM$8*'401.c Post comb - Cement kiln'!$F$35*7.45</f>
        <v>0.58735800000000005</v>
      </c>
      <c r="AR40" s="91">
        <f>Emissions!$F$11/AF40</f>
        <v>60.585106382978729</v>
      </c>
      <c r="AS40" s="91">
        <f>IF(RIGHT(H40,2)="HT",$AZ$4/$AZ$5,0)</f>
        <v>0</v>
      </c>
      <c r="AT40" s="91">
        <f>$AM$8*(SUM($AR40:$AS40))*1000/8760</f>
        <v>0.21810638297872342</v>
      </c>
    </row>
    <row r="41" spans="1:46" s="91" customFormat="1">
      <c r="A41" s="91" t="str">
        <f>A40</f>
        <v>INDGDRHGASN1</v>
      </c>
      <c r="G41" s="91" t="s">
        <v>310</v>
      </c>
      <c r="J41" s="91">
        <v>2050</v>
      </c>
      <c r="U41" s="91">
        <f>AI41</f>
        <v>3.9259148936170215E-3</v>
      </c>
      <c r="AI41" s="91">
        <f>'401.c Post comb - Cement kiln'!$F$12*IND_CCS!AT40</f>
        <v>3.9259148936170215E-3</v>
      </c>
    </row>
    <row r="42" spans="1:46" s="91" customFormat="1">
      <c r="A42" s="91" t="str">
        <f>A41</f>
        <v>INDGDRHGASN1</v>
      </c>
      <c r="C42" s="91" t="s">
        <v>785</v>
      </c>
      <c r="I42" s="91" t="str">
        <f>'IND tech'!$I$132</f>
        <v>INDGWH</v>
      </c>
      <c r="J42" s="91">
        <v>2050</v>
      </c>
      <c r="V42" s="91" cm="1">
        <f t="array" ref="V42">INDEX('IND tech'!$L$6:$V$182,MATCH($A40&amp;$J40,'IND tech'!$A$6:$A$182&amp;'IND tech'!$J$6:$J$182,0),MATCH(V$5,'IND tech'!$L$3:$V$3,0))</f>
        <v>6.0000000000000053E-2</v>
      </c>
      <c r="Y42" s="82"/>
      <c r="Z42" s="82"/>
      <c r="AC42" s="82"/>
    </row>
    <row r="43" spans="1:46" s="91" customFormat="1">
      <c r="A43" s="91" t="str">
        <f>A42</f>
        <v>INDGDRHGASN1</v>
      </c>
      <c r="I43" s="91" t="s">
        <v>596</v>
      </c>
      <c r="J43" s="91">
        <v>2050</v>
      </c>
      <c r="V43" s="91">
        <f>SUM(AR40:AS40)</f>
        <v>60.585106382978729</v>
      </c>
    </row>
    <row r="44" spans="1:46" s="91" customFormat="1">
      <c r="A44" s="91" t="str">
        <f>IF(C44&gt;0,LEFT(C44,12),A43)</f>
        <v>INDGDMTGASN2</v>
      </c>
      <c r="C44" s="91" t="str">
        <f>'IND tech'!D141&amp;"CCS"</f>
        <v>INDGDMTGASN2CCS</v>
      </c>
      <c r="D44" s="91" t="str">
        <f>'IND tech'!E141&amp;"CCS"</f>
        <v>Industrial heating technology Glass &amp; Concrete MT - Gas boiler (Steam - condensing) - new 2CCS</v>
      </c>
      <c r="E44" s="91" t="s">
        <v>791</v>
      </c>
      <c r="F44" s="91" t="str">
        <f>'IND tech'!$G$132</f>
        <v>INDNGA, INDBGA, INDSNG1, INDSNG2, INDLPG</v>
      </c>
      <c r="H44" s="91" t="str">
        <f>"IGD"&amp;MID(C44,6,2)</f>
        <v>IGDMT</v>
      </c>
      <c r="J44" s="91">
        <v>2020</v>
      </c>
      <c r="K44" s="91">
        <v>2020</v>
      </c>
      <c r="L44" s="82">
        <f>AF44+AG44</f>
        <v>0.86536558892691473</v>
      </c>
      <c r="M44" s="91" cm="1">
        <f t="array" ref="M44">INDEX('IND tech'!$L$6:$V$182,MATCH($A44&amp;$J44,'IND tech'!$A$6:$A$182&amp;'IND tech'!$J$6:$J$182,0),MATCH(M$5,'IND tech'!$L$3:$V$3,0))</f>
        <v>25</v>
      </c>
      <c r="N44" s="383" cm="1">
        <f t="array" ref="N44">INDEX('IND tech'!$L$6:$V$182,MATCH($A44&amp;$J44,'IND tech'!$A$6:$A$182&amp;'IND tech'!$J$6:$J$182,0),MATCH(N$5,'IND tech'!$L$3:$V$3,0))+AJ44</f>
        <v>4.9838287128712881</v>
      </c>
      <c r="O44" s="383" cm="1">
        <f t="array" ref="O44">INDEX('IND tech'!$L$6:$V$182,MATCH($A44&amp;$J44,'IND tech'!$A$6:$A$182&amp;'IND tech'!$J$6:$J$182,0),MATCH(O$5,'IND tech'!$L$3:$V$3,0))+AK44</f>
        <v>0.15100486138613864</v>
      </c>
      <c r="P44" s="383" cm="1">
        <f t="array" ref="P44">INDEX('IND tech'!$L$6:$V$182,MATCH($A44&amp;$J44,'IND tech'!$A$6:$A$182&amp;'IND tech'!$J$6:$J$182,0),MATCH(P$5,'IND tech'!$L$3:$V$3,0))+AL44</f>
        <v>2.8637468888888891</v>
      </c>
      <c r="Q44" s="91" cm="1">
        <f t="array" ref="Q44">INDEX('IND tech'!$L$6:$V$182,MATCH($A44&amp;$J44,'IND tech'!$A$6:$A$182&amp;'IND tech'!$J$6:$J$182,0),MATCH(Q$5,'IND tech'!$L$3:$V$3,0))</f>
        <v>3.1536000000000002E-2</v>
      </c>
      <c r="R44" s="91">
        <v>0.95</v>
      </c>
      <c r="S44" s="91" cm="1">
        <f t="array" ref="S44">INDEX('IND tech'!$L$6:$V$182,MATCH($A44&amp;$J44,'IND tech'!$A$6:$A$182&amp;'IND tech'!$J$6:$J$182,0),MATCH(S$5,'IND tech'!$L$3:$V$3,0))</f>
        <v>0</v>
      </c>
      <c r="W44" s="91">
        <v>3</v>
      </c>
      <c r="Y44" s="82">
        <f>-1*PMT($Y$3,M44,N44*1000000)/Q44*R44/1000000</f>
        <v>9.610395268812205</v>
      </c>
      <c r="Z44" s="82">
        <f>O44*1000000/Q44*R44/1000000</f>
        <v>4.548916105937078</v>
      </c>
      <c r="AA44" s="91">
        <f>SUMIFS('DMS marginal prices'!$G$8:$G$70,'DMS marginal prices'!$F$8:$F$70,J44,'DMS marginal prices'!$D$8:$D$70,"INDNGA")/L44+SUMIFS('DMS marginal prices'!$G$8:$G$70,'DMS marginal prices'!$F$8:$F$70,J45,'DMS marginal prices'!$D$8:$D$70,G45)*U45</f>
        <v>71.600907009427516</v>
      </c>
      <c r="AC44" s="82">
        <f>SUM(Y44:AB47)*1000/(V47*0.9)</f>
        <v>1689.9389438692531</v>
      </c>
      <c r="AF44" s="82" cm="1">
        <f t="array" ref="AF44">INDEX('IND tech'!$L$6:$V$182,MATCH($A44&amp;$J44,'IND tech'!$A$6:$A$182&amp;'IND tech'!$J$6:$J$182,0),MATCH(AF$5,'IND tech'!$L$3:$V$3,0))</f>
        <v>1.01</v>
      </c>
      <c r="AG44" s="91">
        <f>-AH44/(1+AH44)</f>
        <v>-0.14463441107308525</v>
      </c>
      <c r="AH44" s="91">
        <f>'401.c Post comb - Cement kiln'!$B$11*IND_CCS!AT44</f>
        <v>0.16909075247524752</v>
      </c>
      <c r="AJ44" s="91">
        <f>'401.c Post comb - Cement kiln'!$B$28*7.45*AT44</f>
        <v>4.5368287128712881</v>
      </c>
      <c r="AK44" s="91">
        <f>'401.c Post comb - Cement kiln'!$B$34*IND_CCS!AT44*7.45</f>
        <v>0.13610486138613864</v>
      </c>
      <c r="AL44" s="91">
        <f>$AM$8*'401.c Post comb - Cement kiln'!$B$35*7.45</f>
        <v>0.58735800000000005</v>
      </c>
      <c r="AM44" s="91">
        <f>8760*3.6/1000000</f>
        <v>3.1536000000000002E-2</v>
      </c>
      <c r="AR44" s="91">
        <f>Emissions!$F$11/AF44</f>
        <v>56.386138613861391</v>
      </c>
      <c r="AS44" s="91">
        <f>IF(RIGHT(H44,2)="HT",$AZ$4/$AZ$5,0)</f>
        <v>0</v>
      </c>
      <c r="AT44" s="91">
        <f>$AM$8*(SUM($AR44:$AS44))*1000/8760</f>
        <v>0.202990099009901</v>
      </c>
    </row>
    <row r="45" spans="1:46" s="91" customFormat="1">
      <c r="A45" s="91" t="str">
        <f>A44</f>
        <v>INDGDMTGASN2</v>
      </c>
      <c r="G45" s="91" t="s">
        <v>310</v>
      </c>
      <c r="J45" s="91">
        <v>2020</v>
      </c>
      <c r="U45" s="91">
        <f>AI45</f>
        <v>5.0747524752475254E-3</v>
      </c>
      <c r="AI45" s="91">
        <f>'401.c Post comb - Cement kiln'!$B$12*IND_CCS!AT44</f>
        <v>5.0747524752475254E-3</v>
      </c>
    </row>
    <row r="46" spans="1:46" s="91" customFormat="1">
      <c r="A46" s="91" t="str">
        <f>A45</f>
        <v>INDGDMTGASN2</v>
      </c>
      <c r="C46" s="91" t="s">
        <v>785</v>
      </c>
      <c r="I46" s="91" t="str">
        <f>'IND tech'!$I$132</f>
        <v>INDGWH</v>
      </c>
      <c r="J46" s="91">
        <v>2020</v>
      </c>
      <c r="V46" s="91" cm="1">
        <f t="array" ref="V46">INDEX('IND tech'!$L$6:$V$182,MATCH($A44&amp;$J44,'IND tech'!$A$6:$A$182&amp;'IND tech'!$J$6:$J$182,0),MATCH(V$5,'IND tech'!$L$3:$V$3,0))</f>
        <v>0.19</v>
      </c>
      <c r="Y46" s="82"/>
      <c r="Z46" s="82"/>
      <c r="AC46" s="82"/>
    </row>
    <row r="47" spans="1:46" s="91" customFormat="1">
      <c r="A47" s="91" t="str">
        <f>A46</f>
        <v>INDGDMTGASN2</v>
      </c>
      <c r="I47" s="91" t="s">
        <v>596</v>
      </c>
      <c r="J47" s="91">
        <v>2020</v>
      </c>
      <c r="V47" s="91">
        <f>SUM(AR44:AS44)</f>
        <v>56.386138613861391</v>
      </c>
    </row>
    <row r="48" spans="1:46" s="91" customFormat="1">
      <c r="A48" s="91" t="str">
        <f>IF(C48&gt;0,LEFT(C48,12),A47)</f>
        <v>INDGDMTGASN2</v>
      </c>
      <c r="F48" s="91" t="str">
        <f>F44</f>
        <v>INDNGA, INDBGA, INDSNG1, INDSNG2, INDLPG</v>
      </c>
      <c r="H48" s="91" t="str">
        <f>H44</f>
        <v>IGDMT</v>
      </c>
      <c r="J48" s="91">
        <v>2030</v>
      </c>
      <c r="L48" s="82">
        <f>AF48+AG48</f>
        <v>0.90464963064310355</v>
      </c>
      <c r="N48" s="383" cm="1">
        <f t="array" ref="N48">INDEX('IND tech'!$L$6:$V$182,MATCH($A48&amp;$J48,'IND tech'!$A$6:$A$182&amp;'IND tech'!$J$6:$J$182,0),MATCH(N$5,'IND tech'!$L$3:$V$3,0))+AJ48</f>
        <v>4.2280702912621368</v>
      </c>
      <c r="O48" s="383" cm="1">
        <f t="array" ref="O48">INDEX('IND tech'!$L$6:$V$182,MATCH($A48&amp;$J48,'IND tech'!$A$6:$A$182&amp;'IND tech'!$J$6:$J$182,0),MATCH(O$5,'IND tech'!$L$3:$V$3,0))+AK48</f>
        <v>0.12982210873786409</v>
      </c>
      <c r="P48" s="383" cm="1">
        <f t="array" ref="P48">INDEX('IND tech'!$L$6:$V$182,MATCH($A48&amp;$J48,'IND tech'!$A$6:$A$182&amp;'IND tech'!$J$6:$J$182,0),MATCH(P$5,'IND tech'!$L$3:$V$3,0))+AL48</f>
        <v>2.6568024444444447</v>
      </c>
      <c r="W48" s="91">
        <v>3</v>
      </c>
      <c r="Y48" s="82">
        <f>-1*PMT($Y$3,M44,N48*1000000)/Q44*R44/1000000</f>
        <v>8.1530544214753569</v>
      </c>
      <c r="Z48" s="82">
        <f>O48*1000000/Q44*R44/1000000</f>
        <v>3.9108004598227701</v>
      </c>
      <c r="AA48" s="91">
        <f>SUMIFS('DMS marginal prices'!$G$8:$G$70,'DMS marginal prices'!$F$8:$F$70,J48,'DMS marginal prices'!$D$8:$D$70,"INDNGA")/L48+SUMIFS('DMS marginal prices'!$G$8:$G$70,'DMS marginal prices'!$F$8:$F$70,J49,'DMS marginal prices'!$D$8:$D$70,G49)*U49</f>
        <v>98.534285055974664</v>
      </c>
      <c r="AC48" s="82">
        <f>SUM(Y48:AB51)*1000/(V51*0.9)</f>
        <v>2222.5360283951027</v>
      </c>
      <c r="AF48" s="82" cm="1">
        <f t="array" ref="AF48">INDEX('IND tech'!$L$6:$V$182,MATCH($A48&amp;$J48,'IND tech'!$A$6:$A$182&amp;'IND tech'!$J$6:$J$182,0),MATCH(AF$5,'IND tech'!$L$3:$V$3,0))</f>
        <v>1.03</v>
      </c>
      <c r="AG48" s="91">
        <f>-AH48/(1+AH48)</f>
        <v>-0.12535036935689645</v>
      </c>
      <c r="AH48" s="91">
        <f>'401.c Post comb - Cement kiln'!$D$11*IND_CCS!AT48</f>
        <v>0.14331495145631068</v>
      </c>
      <c r="AJ48" s="91">
        <f>'401.c Post comb - Cement kiln'!$D$28*7.45*AT48</f>
        <v>3.8555702912621364</v>
      </c>
      <c r="AK48" s="91">
        <f>'401.c Post comb - Cement kiln'!$D$34*IND_CCS!AT48*7.45</f>
        <v>0.11566710873786409</v>
      </c>
      <c r="AL48" s="91">
        <f>$AM$8*'401.c Post comb - Cement kiln'!$D$35*7.45</f>
        <v>0.58735800000000005</v>
      </c>
      <c r="AR48" s="91">
        <f>Emissions!$F$11/AF48</f>
        <v>55.291262135922331</v>
      </c>
      <c r="AS48" s="91">
        <f>IF(RIGHT(H48,2)="HT",$AZ$4/$AZ$5,0)</f>
        <v>0</v>
      </c>
      <c r="AT48" s="91">
        <f>$AM$8*(SUM($AR48:$AS48))*1000/8760</f>
        <v>0.1990485436893204</v>
      </c>
    </row>
    <row r="49" spans="1:46" s="91" customFormat="1">
      <c r="A49" s="91" t="str">
        <f>A48</f>
        <v>INDGDMTGASN2</v>
      </c>
      <c r="G49" s="91" t="s">
        <v>310</v>
      </c>
      <c r="J49" s="91">
        <v>2030</v>
      </c>
      <c r="U49" s="91">
        <f>AI49</f>
        <v>4.379067961165049E-3</v>
      </c>
      <c r="AI49" s="91">
        <f>'401.c Post comb - Cement kiln'!$D$12*IND_CCS!AT48</f>
        <v>4.379067961165049E-3</v>
      </c>
    </row>
    <row r="50" spans="1:46" s="91" customFormat="1">
      <c r="A50" s="91" t="str">
        <f>A49</f>
        <v>INDGDMTGASN2</v>
      </c>
      <c r="C50" s="91" t="s">
        <v>785</v>
      </c>
      <c r="I50" s="91" t="str">
        <f>'IND tech'!$I$132</f>
        <v>INDGWH</v>
      </c>
      <c r="J50" s="91">
        <v>2030</v>
      </c>
      <c r="V50" s="91" cm="1">
        <f t="array" ref="V50">INDEX('IND tech'!$L$6:$V$182,MATCH($A48&amp;$J48,'IND tech'!$A$6:$A$182&amp;'IND tech'!$J$6:$J$182,0),MATCH(V$5,'IND tech'!$L$3:$V$3,0))</f>
        <v>0.16999999999999998</v>
      </c>
      <c r="Y50" s="82"/>
      <c r="Z50" s="82"/>
      <c r="AC50" s="82"/>
    </row>
    <row r="51" spans="1:46" s="91" customFormat="1">
      <c r="A51" s="91" t="str">
        <f>A50</f>
        <v>INDGDMTGASN2</v>
      </c>
      <c r="I51" s="91" t="s">
        <v>596</v>
      </c>
      <c r="J51" s="91">
        <v>2030</v>
      </c>
      <c r="V51" s="91">
        <f>SUM(AR48:AS48)</f>
        <v>55.291262135922331</v>
      </c>
    </row>
    <row r="52" spans="1:46" s="91" customFormat="1">
      <c r="A52" s="91" t="str">
        <f>IF(C52&gt;0,LEFT(C52,12),A51)</f>
        <v>INDGDMTGASN2</v>
      </c>
      <c r="F52" s="91" t="str">
        <f>F48</f>
        <v>INDNGA, INDBGA, INDSNG1, INDSNG2, INDLPG</v>
      </c>
      <c r="H52" s="91" t="str">
        <f>H48</f>
        <v>IGDMT</v>
      </c>
      <c r="J52" s="91">
        <v>2050</v>
      </c>
      <c r="L52" s="82">
        <f>AF52+AG52</f>
        <v>0.91388254762753918</v>
      </c>
      <c r="N52" s="383" cm="1">
        <f t="array" ref="N52">INDEX('IND tech'!$L$6:$V$182,MATCH($A52&amp;$J52,'IND tech'!$A$6:$A$182&amp;'IND tech'!$J$6:$J$182,0),MATCH(N$5,'IND tech'!$L$3:$V$3,0))+AJ52</f>
        <v>3.0417409708737866</v>
      </c>
      <c r="O52" s="383" cm="1">
        <f t="array" ref="O52">INDEX('IND tech'!$L$6:$V$182,MATCH($A52&amp;$J52,'IND tech'!$A$6:$A$182&amp;'IND tech'!$J$6:$J$182,0),MATCH(O$5,'IND tech'!$L$3:$V$3,0))+AK52</f>
        <v>9.2742229126213604E-2</v>
      </c>
      <c r="P52" s="383" cm="1">
        <f t="array" ref="P52">INDEX('IND tech'!$L$6:$V$182,MATCH($A52&amp;$J52,'IND tech'!$A$6:$A$182&amp;'IND tech'!$J$6:$J$182,0),MATCH(P$5,'IND tech'!$L$3:$V$3,0))+AL52</f>
        <v>2.6568024444444447</v>
      </c>
      <c r="W52" s="91">
        <v>3</v>
      </c>
      <c r="Y52" s="82">
        <f>-1*PMT($Y$3,M44,N52*1000000)/Q44*R44/1000000</f>
        <v>5.8654369400661706</v>
      </c>
      <c r="Z52" s="82">
        <f>O52*1000000/Q44*R44/1000000</f>
        <v>2.7937949540177232</v>
      </c>
      <c r="AA52" s="91">
        <f>SUMIFS('DMS marginal prices'!$G$8:$G$70,'DMS marginal prices'!$F$8:$F$70,J52,'DMS marginal prices'!$D$8:$D$70,"INDNGA")/L52+SUMIFS('DMS marginal prices'!$G$8:$G$70,'DMS marginal prices'!$F$8:$F$70,J53,'DMS marginal prices'!$D$8:$D$70,G53)*U53</f>
        <v>138.82699694370862</v>
      </c>
      <c r="AC52" s="82">
        <f>SUM(Y52:AB55)*1000/(V55*0.9)</f>
        <v>2963.8243235377286</v>
      </c>
      <c r="AF52" s="82" cm="1">
        <f t="array" ref="AF52">INDEX('IND tech'!$L$6:$V$182,MATCH($A52&amp;$J52,'IND tech'!$A$6:$A$182&amp;'IND tech'!$J$6:$J$182,0),MATCH(AF$5,'IND tech'!$L$3:$V$3,0))</f>
        <v>1.03</v>
      </c>
      <c r="AG52" s="91">
        <f>-AH52/(1+AH52)</f>
        <v>-0.11611745237246091</v>
      </c>
      <c r="AH52" s="91">
        <f>'401.c Post comb - Cement kiln'!$F$11*IND_CCS!AT52</f>
        <v>0.13137203883495147</v>
      </c>
      <c r="AJ52" s="91">
        <f>'401.c Post comb - Cement kiln'!$F$28*7.45*AT52</f>
        <v>2.6692409708737865</v>
      </c>
      <c r="AK52" s="91">
        <f>'401.c Post comb - Cement kiln'!$F$34*IND_CCS!AT52*7.45</f>
        <v>8.0077229126213609E-2</v>
      </c>
      <c r="AL52" s="91">
        <f>$AM$8*'401.c Post comb - Cement kiln'!$F$35*7.45</f>
        <v>0.58735800000000005</v>
      </c>
      <c r="AR52" s="91">
        <f>Emissions!$F$11/AF52</f>
        <v>55.291262135922331</v>
      </c>
      <c r="AS52" s="91">
        <f>IF(RIGHT(H52,2)="HT",$AZ$4/$AZ$5,0)</f>
        <v>0</v>
      </c>
      <c r="AT52" s="91">
        <f>$AM$8*(SUM($AR52:$AS52))*1000/8760</f>
        <v>0.1990485436893204</v>
      </c>
    </row>
    <row r="53" spans="1:46" s="91" customFormat="1">
      <c r="A53" s="91" t="str">
        <f>A52</f>
        <v>INDGDMTGASN2</v>
      </c>
      <c r="G53" s="91" t="s">
        <v>310</v>
      </c>
      <c r="J53" s="91">
        <v>2050</v>
      </c>
      <c r="U53" s="91">
        <f>AI53</f>
        <v>3.5828737864077669E-3</v>
      </c>
      <c r="AI53" s="91">
        <f>'401.c Post comb - Cement kiln'!$F$12*IND_CCS!AT52</f>
        <v>3.5828737864077669E-3</v>
      </c>
    </row>
    <row r="54" spans="1:46" s="91" customFormat="1">
      <c r="A54" s="91" t="str">
        <f>A53</f>
        <v>INDGDMTGASN2</v>
      </c>
      <c r="C54" s="91" t="s">
        <v>785</v>
      </c>
      <c r="I54" s="91" t="str">
        <f>'IND tech'!$I$132</f>
        <v>INDGWH</v>
      </c>
      <c r="J54" s="91">
        <v>2050</v>
      </c>
      <c r="V54" s="91" cm="1">
        <f t="array" ref="V54">INDEX('IND tech'!$L$6:$V$182,MATCH($A52&amp;$J52,'IND tech'!$A$6:$A$182&amp;'IND tech'!$J$6:$J$182,0),MATCH(V$5,'IND tech'!$L$3:$V$3,0))</f>
        <v>0.16999999999999998</v>
      </c>
      <c r="Y54" s="82"/>
      <c r="Z54" s="82"/>
      <c r="AC54" s="82"/>
    </row>
    <row r="55" spans="1:46" s="91" customFormat="1">
      <c r="A55" s="91" t="str">
        <f>A54</f>
        <v>INDGDMTGASN2</v>
      </c>
      <c r="I55" s="91" t="s">
        <v>596</v>
      </c>
      <c r="J55" s="91">
        <v>2050</v>
      </c>
      <c r="V55" s="91">
        <f>SUM(AR52:AS52)</f>
        <v>55.291262135922331</v>
      </c>
    </row>
    <row r="56" spans="1:46" s="91" customFormat="1">
      <c r="A56" s="91" t="str">
        <f>IF(C56&gt;0,LEFT(C56,12),A55)</f>
        <v>INDGDRHGASN2</v>
      </c>
      <c r="C56" s="91" t="str">
        <f>'IND tech'!D144&amp;"CCS"</f>
        <v>INDGDRHGASN2CCS</v>
      </c>
      <c r="D56" s="91" t="str">
        <f>'IND tech'!E144&amp;"CCS"</f>
        <v>Industrial heating technology Glass &amp; Concrete RH - Gas boiler (Steam - condensing) - new 2CCS</v>
      </c>
      <c r="E56" s="91" t="s">
        <v>791</v>
      </c>
      <c r="F56" s="91" t="str">
        <f>'IND tech'!$G$132</f>
        <v>INDNGA, INDBGA, INDSNG1, INDSNG2, INDLPG</v>
      </c>
      <c r="H56" s="91" t="str">
        <f>"IGD"&amp;MID(C56,6,2)</f>
        <v>IGDRH</v>
      </c>
      <c r="J56" s="91">
        <v>2020</v>
      </c>
      <c r="K56" s="91">
        <v>2020</v>
      </c>
      <c r="L56" s="82">
        <f>AF56+AG56</f>
        <v>0.86536558892691473</v>
      </c>
      <c r="M56" s="91" cm="1">
        <f t="array" ref="M56">INDEX('IND tech'!$L$6:$V$182,MATCH($A56&amp;$J56,'IND tech'!$A$6:$A$182&amp;'IND tech'!$J$6:$J$182,0),MATCH(M$5,'IND tech'!$L$3:$V$3,0))</f>
        <v>25</v>
      </c>
      <c r="N56" s="383" cm="1">
        <f t="array" ref="N56">INDEX('IND tech'!$L$6:$V$182,MATCH($A56&amp;$J56,'IND tech'!$A$6:$A$182&amp;'IND tech'!$J$6:$J$182,0),MATCH(N$5,'IND tech'!$L$3:$V$3,0))+AJ56</f>
        <v>4.9838287128712881</v>
      </c>
      <c r="O56" s="383" cm="1">
        <f t="array" ref="O56">INDEX('IND tech'!$L$6:$V$182,MATCH($A56&amp;$J56,'IND tech'!$A$6:$A$182&amp;'IND tech'!$J$6:$J$182,0),MATCH(O$5,'IND tech'!$L$3:$V$3,0))+AK56</f>
        <v>0.15100486138613864</v>
      </c>
      <c r="P56" s="383" cm="1">
        <f t="array" ref="P56">INDEX('IND tech'!$L$6:$V$182,MATCH($A56&amp;$J56,'IND tech'!$A$6:$A$182&amp;'IND tech'!$J$6:$J$182,0),MATCH(P$5,'IND tech'!$L$3:$V$3,0))+AL56</f>
        <v>2.8637468888888891</v>
      </c>
      <c r="Q56" s="91" cm="1">
        <f t="array" ref="Q56">INDEX('IND tech'!$L$6:$V$182,MATCH($A56&amp;$J56,'IND tech'!$A$6:$A$182&amp;'IND tech'!$J$6:$J$182,0),MATCH(Q$5,'IND tech'!$L$3:$V$3,0))</f>
        <v>3.1536000000000002E-2</v>
      </c>
      <c r="R56" s="91">
        <v>0.95</v>
      </c>
      <c r="S56" s="91" cm="1">
        <f t="array" ref="S56">INDEX('IND tech'!$L$6:$V$182,MATCH($A56&amp;$J56,'IND tech'!$A$6:$A$182&amp;'IND tech'!$J$6:$J$182,0),MATCH(S$5,'IND tech'!$L$3:$V$3,0))</f>
        <v>0</v>
      </c>
      <c r="W56" s="91">
        <v>3</v>
      </c>
      <c r="Y56" s="82">
        <f>-1*PMT($Y$3,M56,N56*1000000)/Q56*R56/1000000</f>
        <v>9.610395268812205</v>
      </c>
      <c r="Z56" s="82">
        <f>O56*1000000/Q56*R56/1000000</f>
        <v>4.548916105937078</v>
      </c>
      <c r="AA56" s="91">
        <f>SUMIFS('DMS marginal prices'!$G$8:$G$70,'DMS marginal prices'!$F$8:$F$70,J56,'DMS marginal prices'!$D$8:$D$70,"INDNGA")/L56+SUMIFS('DMS marginal prices'!$G$8:$G$70,'DMS marginal prices'!$F$8:$F$70,J57,'DMS marginal prices'!$D$8:$D$70,G57)*U57</f>
        <v>71.600907009427516</v>
      </c>
      <c r="AC56" s="82">
        <f>SUM(Y56:AB59)*1000/(V59*0.9)</f>
        <v>1689.9389438692531</v>
      </c>
      <c r="AF56" s="82" cm="1">
        <f t="array" ref="AF56">INDEX('IND tech'!$L$6:$V$182,MATCH($A56&amp;$J56,'IND tech'!$A$6:$A$182&amp;'IND tech'!$J$6:$J$182,0),MATCH(AF$5,'IND tech'!$L$3:$V$3,0))</f>
        <v>1.01</v>
      </c>
      <c r="AG56" s="91">
        <f>-AH56/(1+AH56)</f>
        <v>-0.14463441107308525</v>
      </c>
      <c r="AH56" s="91">
        <f>'401.c Post comb - Cement kiln'!$B$11*IND_CCS!AT56</f>
        <v>0.16909075247524752</v>
      </c>
      <c r="AJ56" s="91">
        <f>'401.c Post comb - Cement kiln'!$B$28*7.45*AT56</f>
        <v>4.5368287128712881</v>
      </c>
      <c r="AK56" s="91">
        <f>'401.c Post comb - Cement kiln'!$B$34*IND_CCS!AT56*7.45</f>
        <v>0.13610486138613864</v>
      </c>
      <c r="AL56" s="91">
        <f>$AM$8*'401.c Post comb - Cement kiln'!$B$35*7.45</f>
        <v>0.58735800000000005</v>
      </c>
      <c r="AM56" s="91">
        <f>8760*3.6/1000000</f>
        <v>3.1536000000000002E-2</v>
      </c>
      <c r="AR56" s="91">
        <f>Emissions!$F$11/AF56</f>
        <v>56.386138613861391</v>
      </c>
      <c r="AS56" s="91">
        <f>IF(RIGHT(H56,2)="HT",$AZ$4/$AZ$5,0)</f>
        <v>0</v>
      </c>
      <c r="AT56" s="91">
        <f>$AM$8*(SUM($AR56:$AS56))*1000/8760</f>
        <v>0.202990099009901</v>
      </c>
    </row>
    <row r="57" spans="1:46" s="91" customFormat="1">
      <c r="A57" s="91" t="str">
        <f>A56</f>
        <v>INDGDRHGASN2</v>
      </c>
      <c r="G57" s="91" t="s">
        <v>310</v>
      </c>
      <c r="J57" s="91">
        <v>2020</v>
      </c>
      <c r="U57" s="91">
        <f>AI57</f>
        <v>5.0747524752475254E-3</v>
      </c>
      <c r="AI57" s="91">
        <f>'401.c Post comb - Cement kiln'!$B$12*IND_CCS!AT56</f>
        <v>5.0747524752475254E-3</v>
      </c>
    </row>
    <row r="58" spans="1:46" s="91" customFormat="1">
      <c r="A58" s="91" t="str">
        <f>A57</f>
        <v>INDGDRHGASN2</v>
      </c>
      <c r="C58" s="91" t="s">
        <v>785</v>
      </c>
      <c r="I58" s="91" t="str">
        <f>'IND tech'!$I$132</f>
        <v>INDGWH</v>
      </c>
      <c r="J58" s="91">
        <v>2020</v>
      </c>
      <c r="V58" s="91">
        <v>0</v>
      </c>
      <c r="Y58" s="82"/>
      <c r="Z58" s="82"/>
      <c r="AC58" s="82"/>
    </row>
    <row r="59" spans="1:46" s="91" customFormat="1">
      <c r="A59" s="91" t="str">
        <f>A58</f>
        <v>INDGDRHGASN2</v>
      </c>
      <c r="I59" s="91" t="s">
        <v>596</v>
      </c>
      <c r="J59" s="91">
        <v>2020</v>
      </c>
      <c r="V59" s="91">
        <f>SUM(AR56:AS56)</f>
        <v>56.386138613861391</v>
      </c>
    </row>
    <row r="60" spans="1:46" s="91" customFormat="1">
      <c r="A60" s="91" t="str">
        <f>IF(C60&gt;0,LEFT(C60,12),A59)</f>
        <v>INDGDRHGASN2</v>
      </c>
      <c r="F60" s="91" t="str">
        <f>F56</f>
        <v>INDNGA, INDBGA, INDSNG1, INDSNG2, INDLPG</v>
      </c>
      <c r="H60" s="91" t="str">
        <f>H56</f>
        <v>IGDRH</v>
      </c>
      <c r="J60" s="91">
        <v>2030</v>
      </c>
      <c r="L60" s="82">
        <f>AF60+AG60</f>
        <v>0.90464963064310355</v>
      </c>
      <c r="N60" s="383" cm="1">
        <f t="array" ref="N60">INDEX('IND tech'!$L$6:$V$182,MATCH($A60&amp;$J60,'IND tech'!$A$6:$A$182&amp;'IND tech'!$J$6:$J$182,0),MATCH(N$5,'IND tech'!$L$3:$V$3,0))+AJ60</f>
        <v>4.2280702912621368</v>
      </c>
      <c r="O60" s="383" cm="1">
        <f t="array" ref="O60">INDEX('IND tech'!$L$6:$V$182,MATCH($A60&amp;$J60,'IND tech'!$A$6:$A$182&amp;'IND tech'!$J$6:$J$182,0),MATCH(O$5,'IND tech'!$L$3:$V$3,0))+AK60</f>
        <v>0.12982210873786409</v>
      </c>
      <c r="P60" s="383" cm="1">
        <f t="array" ref="P60">INDEX('IND tech'!$L$6:$V$182,MATCH($A60&amp;$J60,'IND tech'!$A$6:$A$182&amp;'IND tech'!$J$6:$J$182,0),MATCH(P$5,'IND tech'!$L$3:$V$3,0))+AL60</f>
        <v>2.6568024444444447</v>
      </c>
      <c r="W60" s="91">
        <v>3</v>
      </c>
      <c r="Y60" s="82">
        <f>-1*PMT($Y$3,M56,N60*1000000)/Q56*R56/1000000</f>
        <v>8.1530544214753569</v>
      </c>
      <c r="Z60" s="82">
        <f>O60*1000000/Q56*R56/1000000</f>
        <v>3.9108004598227701</v>
      </c>
      <c r="AA60" s="91">
        <f>SUMIFS('DMS marginal prices'!$G$8:$G$70,'DMS marginal prices'!$F$8:$F$70,J60,'DMS marginal prices'!$D$8:$D$70,"INDNGA")/L60+SUMIFS('DMS marginal prices'!$G$8:$G$70,'DMS marginal prices'!$F$8:$F$70,J61,'DMS marginal prices'!$D$8:$D$70,G61)*U61</f>
        <v>98.534285055974664</v>
      </c>
      <c r="AC60" s="82">
        <f>SUM(Y60:AB63)*1000/(V63*0.9)</f>
        <v>2222.5360283951027</v>
      </c>
      <c r="AF60" s="82" cm="1">
        <f t="array" ref="AF60">INDEX('IND tech'!$L$6:$V$182,MATCH($A60&amp;$J60,'IND tech'!$A$6:$A$182&amp;'IND tech'!$J$6:$J$182,0),MATCH(AF$5,'IND tech'!$L$3:$V$3,0))</f>
        <v>1.03</v>
      </c>
      <c r="AG60" s="91">
        <f>-AH60/(1+AH60)</f>
        <v>-0.12535036935689645</v>
      </c>
      <c r="AH60" s="91">
        <f>'401.c Post comb - Cement kiln'!$D$11*IND_CCS!AT60</f>
        <v>0.14331495145631068</v>
      </c>
      <c r="AJ60" s="91">
        <f>'401.c Post comb - Cement kiln'!$D$28*7.45*AT60</f>
        <v>3.8555702912621364</v>
      </c>
      <c r="AK60" s="91">
        <f>'401.c Post comb - Cement kiln'!$D$34*IND_CCS!AT60*7.45</f>
        <v>0.11566710873786409</v>
      </c>
      <c r="AL60" s="91">
        <f>$AM$8*'401.c Post comb - Cement kiln'!$D$35*7.45</f>
        <v>0.58735800000000005</v>
      </c>
      <c r="AR60" s="91">
        <f>Emissions!$F$11/AF60</f>
        <v>55.291262135922331</v>
      </c>
      <c r="AS60" s="91">
        <f>IF(RIGHT(H60,2)="HT",$AZ$4/$AZ$5,0)</f>
        <v>0</v>
      </c>
      <c r="AT60" s="91">
        <f>$AM$8*(SUM($AR60:$AS60))*1000/8760</f>
        <v>0.1990485436893204</v>
      </c>
    </row>
    <row r="61" spans="1:46" s="91" customFormat="1">
      <c r="A61" s="91" t="str">
        <f>A60</f>
        <v>INDGDRHGASN2</v>
      </c>
      <c r="G61" s="91" t="s">
        <v>310</v>
      </c>
      <c r="J61" s="91">
        <v>2030</v>
      </c>
      <c r="U61" s="91">
        <f>AI61</f>
        <v>4.379067961165049E-3</v>
      </c>
      <c r="AI61" s="91">
        <f>'401.c Post comb - Cement kiln'!$D$12*IND_CCS!AT60</f>
        <v>4.379067961165049E-3</v>
      </c>
    </row>
    <row r="62" spans="1:46" s="91" customFormat="1">
      <c r="A62" s="91" t="str">
        <f>A61</f>
        <v>INDGDRHGASN2</v>
      </c>
      <c r="C62" s="91" t="s">
        <v>785</v>
      </c>
      <c r="I62" s="91" t="str">
        <f>'IND tech'!$I$132</f>
        <v>INDGWH</v>
      </c>
      <c r="J62" s="91">
        <v>2030</v>
      </c>
      <c r="V62" s="91">
        <v>0</v>
      </c>
      <c r="Y62" s="82"/>
      <c r="Z62" s="82"/>
      <c r="AC62" s="82"/>
    </row>
    <row r="63" spans="1:46" s="91" customFormat="1">
      <c r="A63" s="91" t="str">
        <f>A62</f>
        <v>INDGDRHGASN2</v>
      </c>
      <c r="I63" s="91" t="s">
        <v>596</v>
      </c>
      <c r="J63" s="91">
        <v>2030</v>
      </c>
      <c r="V63" s="91">
        <f>SUM(AR60:AS60)</f>
        <v>55.291262135922331</v>
      </c>
    </row>
    <row r="64" spans="1:46" s="91" customFormat="1">
      <c r="A64" s="91" t="str">
        <f>IF(C64&gt;0,LEFT(C64,12),A63)</f>
        <v>INDGDRHGASN2</v>
      </c>
      <c r="F64" s="91" t="str">
        <f>F60</f>
        <v>INDNGA, INDBGA, INDSNG1, INDSNG2, INDLPG</v>
      </c>
      <c r="H64" s="91" t="str">
        <f>H60</f>
        <v>IGDRH</v>
      </c>
      <c r="J64" s="91">
        <v>2050</v>
      </c>
      <c r="L64" s="82">
        <f>AF64+AG64</f>
        <v>0.91388254762753918</v>
      </c>
      <c r="N64" s="383" cm="1">
        <f t="array" ref="N64">INDEX('IND tech'!$L$6:$V$182,MATCH($A64&amp;$J64,'IND tech'!$A$6:$A$182&amp;'IND tech'!$J$6:$J$182,0),MATCH(N$5,'IND tech'!$L$3:$V$3,0))+AJ64</f>
        <v>3.0417409708737866</v>
      </c>
      <c r="O64" s="383" cm="1">
        <f t="array" ref="O64">INDEX('IND tech'!$L$6:$V$182,MATCH($A64&amp;$J64,'IND tech'!$A$6:$A$182&amp;'IND tech'!$J$6:$J$182,0),MATCH(O$5,'IND tech'!$L$3:$V$3,0))+AK64</f>
        <v>9.2742229126213604E-2</v>
      </c>
      <c r="P64" s="383" cm="1">
        <f t="array" ref="P64">INDEX('IND tech'!$L$6:$V$182,MATCH($A64&amp;$J64,'IND tech'!$A$6:$A$182&amp;'IND tech'!$J$6:$J$182,0),MATCH(P$5,'IND tech'!$L$3:$V$3,0))+AL64</f>
        <v>2.6568024444444447</v>
      </c>
      <c r="W64" s="91">
        <v>3</v>
      </c>
      <c r="Y64" s="82">
        <f>-1*PMT($Y$3,M56,N64*1000000)/Q56*R56/1000000</f>
        <v>5.8654369400661706</v>
      </c>
      <c r="Z64" s="82">
        <f>O64*1000000/Q56*R56/1000000</f>
        <v>2.7937949540177232</v>
      </c>
      <c r="AA64" s="91">
        <f>SUMIFS('DMS marginal prices'!$G$8:$G$70,'DMS marginal prices'!$F$8:$F$70,J64,'DMS marginal prices'!$D$8:$D$70,"INDNGA")/L64+SUMIFS('DMS marginal prices'!$G$8:$G$70,'DMS marginal prices'!$F$8:$F$70,J65,'DMS marginal prices'!$D$8:$D$70,G65)*U65</f>
        <v>138.82699694370862</v>
      </c>
      <c r="AC64" s="82">
        <f>SUM(Y64:AB67)*1000/(V67*0.9)</f>
        <v>2963.8243235377286</v>
      </c>
      <c r="AF64" s="82" cm="1">
        <f t="array" ref="AF64">INDEX('IND tech'!$L$6:$V$182,MATCH($A64&amp;$J64,'IND tech'!$A$6:$A$182&amp;'IND tech'!$J$6:$J$182,0),MATCH(AF$5,'IND tech'!$L$3:$V$3,0))</f>
        <v>1.03</v>
      </c>
      <c r="AG64" s="91">
        <f>-AH64/(1+AH64)</f>
        <v>-0.11611745237246091</v>
      </c>
      <c r="AH64" s="91">
        <f>'401.c Post comb - Cement kiln'!$F$11*IND_CCS!AT64</f>
        <v>0.13137203883495147</v>
      </c>
      <c r="AJ64" s="91">
        <f>'401.c Post comb - Cement kiln'!$F$28*7.45*AT64</f>
        <v>2.6692409708737865</v>
      </c>
      <c r="AK64" s="91">
        <f>'401.c Post comb - Cement kiln'!$F$34*IND_CCS!AT64*7.45</f>
        <v>8.0077229126213609E-2</v>
      </c>
      <c r="AL64" s="91">
        <f>$AM$8*'401.c Post comb - Cement kiln'!$F$35*7.45</f>
        <v>0.58735800000000005</v>
      </c>
      <c r="AR64" s="91">
        <f>Emissions!$F$11/AF64</f>
        <v>55.291262135922331</v>
      </c>
      <c r="AS64" s="91">
        <f>IF(RIGHT(H64,2)="HT",$AZ$4/$AZ$5,0)</f>
        <v>0</v>
      </c>
      <c r="AT64" s="91">
        <f>$AM$8*(SUM($AR64:$AS64))*1000/8760</f>
        <v>0.1990485436893204</v>
      </c>
    </row>
    <row r="65" spans="1:46" s="91" customFormat="1">
      <c r="A65" s="91" t="str">
        <f>A64</f>
        <v>INDGDRHGASN2</v>
      </c>
      <c r="G65" s="91" t="s">
        <v>310</v>
      </c>
      <c r="J65" s="91">
        <v>2050</v>
      </c>
      <c r="U65" s="91">
        <f>AI65</f>
        <v>3.5828737864077669E-3</v>
      </c>
      <c r="AI65" s="91">
        <f>'401.c Post comb - Cement kiln'!$F$12*IND_CCS!AT64</f>
        <v>3.5828737864077669E-3</v>
      </c>
    </row>
    <row r="66" spans="1:46" s="91" customFormat="1">
      <c r="A66" s="91" t="str">
        <f>A65</f>
        <v>INDGDRHGASN2</v>
      </c>
      <c r="C66" s="91" t="s">
        <v>785</v>
      </c>
      <c r="I66" s="91" t="str">
        <f>'IND tech'!$I$132</f>
        <v>INDGWH</v>
      </c>
      <c r="J66" s="91">
        <v>2050</v>
      </c>
      <c r="V66" s="91">
        <v>0</v>
      </c>
      <c r="Y66" s="82"/>
      <c r="Z66" s="82"/>
      <c r="AC66" s="82"/>
    </row>
    <row r="67" spans="1:46" s="91" customFormat="1">
      <c r="A67" s="91" t="str">
        <f>A66</f>
        <v>INDGDRHGASN2</v>
      </c>
      <c r="I67" s="91" t="s">
        <v>596</v>
      </c>
      <c r="J67" s="91">
        <v>2050</v>
      </c>
      <c r="V67" s="91">
        <f>SUM(AR64:AS64)</f>
        <v>55.291262135922331</v>
      </c>
    </row>
    <row r="68" spans="1:46" s="91" customFormat="1">
      <c r="A68" s="91" t="str">
        <f>IF(C68&gt;0,LEFT(C68,12),A67)</f>
        <v>INDGDMTGASN3</v>
      </c>
      <c r="C68" s="91" t="str">
        <f>'IND tech'!D147&amp;"CCS"</f>
        <v>INDGDMTGASN3CCS</v>
      </c>
      <c r="D68" s="91" t="str">
        <f>'IND tech'!E147&amp;"CCS"</f>
        <v>Industrial heating technology Glass &amp; Concrete MT - Gas boiler (Hot Water) - new 3CCS</v>
      </c>
      <c r="E68" s="91" t="s">
        <v>791</v>
      </c>
      <c r="F68" s="91" t="str">
        <f>'IND tech'!$G$132</f>
        <v>INDNGA, INDBGA, INDSNG1, INDSNG2, INDLPG</v>
      </c>
      <c r="H68" s="91" t="str">
        <f>"IGD"&amp;MID(C68,6,2)</f>
        <v>IGDMT</v>
      </c>
      <c r="J68" s="91">
        <v>2020</v>
      </c>
      <c r="K68" s="91">
        <v>2020</v>
      </c>
      <c r="L68" s="82">
        <f>AF68+AG68</f>
        <v>0.77485419206566364</v>
      </c>
      <c r="M68" s="91" cm="1">
        <f t="array" ref="M68">INDEX('IND tech'!$L$6:$V$182,MATCH($A68&amp;$J68,'IND tech'!$A$6:$A$182&amp;'IND tech'!$J$6:$J$182,0),MATCH(M$5,'IND tech'!$L$3:$V$3,0))</f>
        <v>25</v>
      </c>
      <c r="N68" s="383" cm="1">
        <f t="array" ref="N68">INDEX('IND tech'!$L$6:$V$182,MATCH($A68&amp;$J68,'IND tech'!$A$6:$A$182&amp;'IND tech'!$J$6:$J$182,0),MATCH(N$5,'IND tech'!$L$3:$V$3,0))+AJ68</f>
        <v>5.2521844574780072</v>
      </c>
      <c r="O68" s="383" cm="1">
        <f t="array" ref="O68">INDEX('IND tech'!$L$6:$V$182,MATCH($A68&amp;$J68,'IND tech'!$A$6:$A$182&amp;'IND tech'!$J$6:$J$182,0),MATCH(O$5,'IND tech'!$L$3:$V$3,0))+AK68</f>
        <v>0.1627128064516129</v>
      </c>
      <c r="P68" s="383" cm="1">
        <f t="array" ref="P68">INDEX('IND tech'!$L$6:$V$182,MATCH($A68&amp;$J68,'IND tech'!$A$6:$A$182&amp;'IND tech'!$J$6:$J$182,0),MATCH(P$5,'IND tech'!$L$3:$V$3,0))+AL68</f>
        <v>2.8637468888888891</v>
      </c>
      <c r="Q68" s="91" cm="1">
        <f t="array" ref="Q68">INDEX('IND tech'!$L$6:$V$182,MATCH($A68&amp;$J68,'IND tech'!$A$6:$A$182&amp;'IND tech'!$J$6:$J$182,0),MATCH(Q$5,'IND tech'!$L$3:$V$3,0))</f>
        <v>3.1536000000000002E-2</v>
      </c>
      <c r="R68" s="91">
        <v>0.95</v>
      </c>
      <c r="S68" s="91" cm="1">
        <f t="array" ref="S68">INDEX('IND tech'!$L$6:$V$182,MATCH($A68&amp;$J68,'IND tech'!$A$6:$A$182&amp;'IND tech'!$J$6:$J$182,0),MATCH(S$5,'IND tech'!$L$3:$V$3,0))</f>
        <v>0.5</v>
      </c>
      <c r="W68" s="91">
        <v>3</v>
      </c>
      <c r="Y68" s="82">
        <f>-1*PMT($Y$3,M68,N68*1000000)/Q68*R68/1000000</f>
        <v>10.127869870550912</v>
      </c>
      <c r="Z68" s="82">
        <f>O68*1000000/Q68*R68/1000000</f>
        <v>4.9016097833914332</v>
      </c>
      <c r="AA68" s="91">
        <f>SUMIFS('DMS marginal prices'!$G$8:$G$70,'DMS marginal prices'!$F$8:$F$70,J68,'DMS marginal prices'!$D$8:$D$70,"INDNGA")/L68+SUMIFS('DMS marginal prices'!$G$8:$G$70,'DMS marginal prices'!$F$8:$F$70,J69,'DMS marginal prices'!$D$8:$D$70,G69)*U69</f>
        <v>79.94127451922111</v>
      </c>
      <c r="AC68" s="82">
        <f>SUM(Y68:AB71)*1000/(V71*0.9)</f>
        <v>1723.2036168382015</v>
      </c>
      <c r="AF68" s="82" cm="1">
        <f t="array" ref="AF68">INDEX('IND tech'!$L$6:$V$182,MATCH($A68&amp;$J68,'IND tech'!$A$6:$A$182&amp;'IND tech'!$J$6:$J$182,0),MATCH(AF$5,'IND tech'!$L$3:$V$3,0))</f>
        <v>0.93</v>
      </c>
      <c r="AG68" s="91">
        <f>-AH68/(1+AH68)</f>
        <v>-0.15514580793433641</v>
      </c>
      <c r="AH68" s="91">
        <f>'401.c Post comb - Cement kiln'!$B$11*IND_CCS!AT68</f>
        <v>0.18363619354838709</v>
      </c>
      <c r="AJ68" s="91">
        <f>'401.c Post comb - Cement kiln'!$B$28*7.45*AT68</f>
        <v>4.9270935483870977</v>
      </c>
      <c r="AK68" s="91">
        <f>'401.c Post comb - Cement kiln'!$B$34*IND_CCS!AT68*7.45</f>
        <v>0.1478128064516129</v>
      </c>
      <c r="AL68" s="91">
        <f>$AM$8*'401.c Post comb - Cement kiln'!$B$35*7.45</f>
        <v>0.58735800000000005</v>
      </c>
      <c r="AM68" s="91">
        <f>8760*3.6/1000000</f>
        <v>3.1536000000000002E-2</v>
      </c>
      <c r="AR68" s="91">
        <f>Emissions!$F$11/AF68</f>
        <v>61.236559139784944</v>
      </c>
      <c r="AS68" s="91">
        <f>IF(RIGHT(H68,2)="HT",$AZ$4/$AZ$5,0)</f>
        <v>0</v>
      </c>
      <c r="AT68" s="91">
        <f>$AM$8*(SUM($AR68:$AS68))*1000/8760</f>
        <v>0.22045161290322582</v>
      </c>
    </row>
    <row r="69" spans="1:46" s="91" customFormat="1">
      <c r="A69" s="91" t="str">
        <f>A68</f>
        <v>INDGDMTGASN3</v>
      </c>
      <c r="G69" s="91" t="s">
        <v>310</v>
      </c>
      <c r="J69" s="91">
        <v>2020</v>
      </c>
      <c r="U69" s="91">
        <f>AI69</f>
        <v>5.5112903225806456E-3</v>
      </c>
      <c r="AI69" s="91">
        <f>'401.c Post comb - Cement kiln'!$B$12*IND_CCS!AT68</f>
        <v>5.5112903225806456E-3</v>
      </c>
    </row>
    <row r="70" spans="1:46" s="91" customFormat="1">
      <c r="A70" s="91" t="str">
        <f>A69</f>
        <v>INDGDMTGASN3</v>
      </c>
      <c r="C70" s="91" t="s">
        <v>785</v>
      </c>
      <c r="I70" s="91" t="str">
        <f>'IND tech'!$I$132</f>
        <v>INDGWH</v>
      </c>
      <c r="J70" s="91">
        <v>2020</v>
      </c>
      <c r="V70" s="91" cm="1">
        <f t="array" ref="V70">INDEX('IND tech'!$L$6:$V$182,MATCH($A68&amp;$J68,'IND tech'!$A$6:$A$182&amp;'IND tech'!$J$6:$J$182,0),MATCH(V$5,'IND tech'!$L$3:$V$3,0))</f>
        <v>0.26999999999999996</v>
      </c>
      <c r="Y70" s="82"/>
      <c r="Z70" s="82"/>
      <c r="AC70" s="82"/>
    </row>
    <row r="71" spans="1:46" s="91" customFormat="1">
      <c r="A71" s="91" t="str">
        <f>A70</f>
        <v>INDGDMTGASN3</v>
      </c>
      <c r="I71" s="91" t="s">
        <v>596</v>
      </c>
      <c r="J71" s="91">
        <v>2020</v>
      </c>
      <c r="V71" s="91">
        <f>SUM(AR68:AS68)</f>
        <v>61.236559139784944</v>
      </c>
    </row>
    <row r="72" spans="1:46" s="91" customFormat="1">
      <c r="A72" s="91" t="str">
        <f>IF(C72&gt;0,LEFT(C72,12),A71)</f>
        <v>INDGDMTGASN3</v>
      </c>
      <c r="F72" s="91" t="str">
        <f>F68</f>
        <v>INDNGA, INDBGA, INDSNG1, INDSNG2, INDLPG</v>
      </c>
      <c r="H72" s="91" t="str">
        <f>H68</f>
        <v>IGDMT</v>
      </c>
      <c r="J72" s="91">
        <v>2030</v>
      </c>
      <c r="L72" s="82">
        <f>AF72+AG72</f>
        <v>0.80427689813595693</v>
      </c>
      <c r="N72" s="383" cm="1">
        <f t="array" ref="N72">INDEX('IND tech'!$L$6:$V$182,MATCH($A72&amp;$J72,'IND tech'!$A$6:$A$182&amp;'IND tech'!$J$6:$J$182,0),MATCH(N$5,'IND tech'!$L$3:$V$3,0))+AJ72</f>
        <v>4.4956297292069634</v>
      </c>
      <c r="O72" s="383" cm="1">
        <f t="array" ref="O72">INDEX('IND tech'!$L$6:$V$182,MATCH($A72&amp;$J72,'IND tech'!$A$6:$A$182&amp;'IND tech'!$J$6:$J$182,0),MATCH(O$5,'IND tech'!$L$3:$V$3,0))+AK72</f>
        <v>0.1408966191489362</v>
      </c>
      <c r="P72" s="383" cm="1">
        <f t="array" ref="P72">INDEX('IND tech'!$L$6:$V$182,MATCH($A72&amp;$J72,'IND tech'!$A$6:$A$182&amp;'IND tech'!$J$6:$J$182,0),MATCH(P$5,'IND tech'!$L$3:$V$3,0))+AL72</f>
        <v>2.6568024444444447</v>
      </c>
      <c r="W72" s="91">
        <v>3</v>
      </c>
      <c r="Y72" s="82">
        <f>-1*PMT($Y$3,M68,N72*1000000)/Q68*R68/1000000</f>
        <v>8.6689934925574388</v>
      </c>
      <c r="Z72" s="82">
        <f>O72*1000000/Q68*R68/1000000</f>
        <v>4.2444123602070452</v>
      </c>
      <c r="AA72" s="91">
        <f>SUMIFS('DMS marginal prices'!$G$8:$G$70,'DMS marginal prices'!$F$8:$F$70,J72,'DMS marginal prices'!$D$8:$D$70,"INDNGA")/L72+SUMIFS('DMS marginal prices'!$G$8:$G$70,'DMS marginal prices'!$F$8:$F$70,J73,'DMS marginal prices'!$D$8:$D$70,G73)*U73</f>
        <v>110.81061465850276</v>
      </c>
      <c r="AC72" s="82">
        <f>SUM(Y72:AB75)*1000/(V75*0.9)</f>
        <v>2269.058224184786</v>
      </c>
      <c r="AF72" s="82" cm="1">
        <f t="array" ref="AF72">INDEX('IND tech'!$L$6:$V$182,MATCH($A72&amp;$J72,'IND tech'!$A$6:$A$182&amp;'IND tech'!$J$6:$J$182,0),MATCH(AF$5,'IND tech'!$L$3:$V$3,0))</f>
        <v>0.94</v>
      </c>
      <c r="AG72" s="91">
        <f>-AH72/(1+AH72)</f>
        <v>-0.13572310186404299</v>
      </c>
      <c r="AH72" s="91">
        <f>'401.c Post comb - Cement kiln'!$D$11*IND_CCS!AT72</f>
        <v>0.15703659574468085</v>
      </c>
      <c r="AJ72" s="91">
        <f>'401.c Post comb - Cement kiln'!$D$28*7.45*AT72</f>
        <v>4.2247206382978728</v>
      </c>
      <c r="AK72" s="91">
        <f>'401.c Post comb - Cement kiln'!$D$34*IND_CCS!AT72*7.45</f>
        <v>0.1267416191489362</v>
      </c>
      <c r="AL72" s="91">
        <f>$AM$8*'401.c Post comb - Cement kiln'!$D$35*7.45</f>
        <v>0.58735800000000005</v>
      </c>
      <c r="AR72" s="91">
        <f>Emissions!$F$11/AF72</f>
        <v>60.585106382978729</v>
      </c>
      <c r="AS72" s="91">
        <f>IF(RIGHT(H72,2)="HT",$AZ$4/$AZ$5,0)</f>
        <v>0</v>
      </c>
      <c r="AT72" s="91">
        <f>$AM$8*(SUM($AR72:$AS72))*1000/8760</f>
        <v>0.21810638297872342</v>
      </c>
    </row>
    <row r="73" spans="1:46" s="91" customFormat="1">
      <c r="A73" s="91" t="str">
        <f>A72</f>
        <v>INDGDMTGASN3</v>
      </c>
      <c r="G73" s="91" t="s">
        <v>310</v>
      </c>
      <c r="J73" s="91">
        <v>2030</v>
      </c>
      <c r="U73" s="91">
        <f>AI73</f>
        <v>4.7983404255319152E-3</v>
      </c>
      <c r="AI73" s="91">
        <f>'401.c Post comb - Cement kiln'!$D$12*IND_CCS!AT72</f>
        <v>4.7983404255319152E-3</v>
      </c>
    </row>
    <row r="74" spans="1:46" s="91" customFormat="1">
      <c r="A74" s="91" t="str">
        <f>A73</f>
        <v>INDGDMTGASN3</v>
      </c>
      <c r="C74" s="91" t="s">
        <v>785</v>
      </c>
      <c r="I74" s="91" t="str">
        <f>'IND tech'!$I$132</f>
        <v>INDGWH</v>
      </c>
      <c r="J74" s="91">
        <v>2030</v>
      </c>
      <c r="V74" s="91" cm="1">
        <f t="array" ref="V74">INDEX('IND tech'!$L$6:$V$182,MATCH($A72&amp;$J72,'IND tech'!$A$6:$A$182&amp;'IND tech'!$J$6:$J$182,0),MATCH(V$5,'IND tech'!$L$3:$V$3,0))</f>
        <v>0.26000000000000006</v>
      </c>
      <c r="Y74" s="82"/>
      <c r="Z74" s="82"/>
      <c r="AC74" s="82"/>
    </row>
    <row r="75" spans="1:46" s="91" customFormat="1">
      <c r="A75" s="91" t="str">
        <f>A74</f>
        <v>INDGDMTGASN3</v>
      </c>
      <c r="I75" s="91" t="s">
        <v>596</v>
      </c>
      <c r="J75" s="91">
        <v>2030</v>
      </c>
      <c r="V75" s="91">
        <f>SUM(AR72:AS72)</f>
        <v>60.585106382978729</v>
      </c>
    </row>
    <row r="76" spans="1:46" s="91" customFormat="1">
      <c r="A76" s="91" t="str">
        <f>IF(C76&gt;0,LEFT(C76,12),A75)</f>
        <v>INDGDMTGASN3</v>
      </c>
      <c r="F76" s="91" t="str">
        <f>F72</f>
        <v>INDNGA, INDBGA, INDSNG1, INDSNG2, INDLPG</v>
      </c>
      <c r="H76" s="91" t="str">
        <f>H72</f>
        <v>IGDMT</v>
      </c>
      <c r="J76" s="91">
        <v>2050</v>
      </c>
      <c r="L76" s="82">
        <f>AF76+AG76</f>
        <v>0.82532336287810737</v>
      </c>
      <c r="N76" s="383" cm="1">
        <f t="array" ref="N76">INDEX('IND tech'!$L$6:$V$182,MATCH($A76&amp;$J76,'IND tech'!$A$6:$A$182&amp;'IND tech'!$J$6:$J$182,0),MATCH(N$5,'IND tech'!$L$3:$V$3,0))+AJ76</f>
        <v>3.1649282488038284</v>
      </c>
      <c r="O76" s="383" cm="1">
        <f t="array" ref="O76">INDEX('IND tech'!$L$6:$V$182,MATCH($A76&amp;$J76,'IND tech'!$A$6:$A$182&amp;'IND tech'!$J$6:$J$182,0),MATCH(O$5,'IND tech'!$L$3:$V$3,0))+AK76</f>
        <v>9.9485574736842122E-2</v>
      </c>
      <c r="P76" s="383" cm="1">
        <f t="array" ref="P76">INDEX('IND tech'!$L$6:$V$182,MATCH($A76&amp;$J76,'IND tech'!$A$6:$A$182&amp;'IND tech'!$J$6:$J$182,0),MATCH(P$5,'IND tech'!$L$3:$V$3,0))+AL76</f>
        <v>2.6568024444444447</v>
      </c>
      <c r="W76" s="91">
        <v>3</v>
      </c>
      <c r="Y76" s="82">
        <f>-1*PMT($Y$3,M68,N76*1000000)/Q68*R68/1000000</f>
        <v>6.1029809049980379</v>
      </c>
      <c r="Z76" s="82">
        <f>O76*1000000/Q68*R68/1000000</f>
        <v>2.9969335362760026</v>
      </c>
      <c r="AA76" s="91">
        <f>SUMIFS('DMS marginal prices'!$G$8:$G$70,'DMS marginal prices'!$F$8:$F$70,J76,'DMS marginal prices'!$D$8:$D$70,"INDNGA")/L76+SUMIFS('DMS marginal prices'!$G$8:$G$70,'DMS marginal prices'!$F$8:$F$70,J77,'DMS marginal prices'!$D$8:$D$70,G77)*U77</f>
        <v>153.71274593607083</v>
      </c>
      <c r="AC76" s="82">
        <f>SUM(Y76:AB79)*1000/(V79*0.9)</f>
        <v>3017.6963683246045</v>
      </c>
      <c r="AF76" s="82" cm="1">
        <f t="array" ref="AF76">INDEX('IND tech'!$L$6:$V$182,MATCH($A76&amp;$J76,'IND tech'!$A$6:$A$182&amp;'IND tech'!$J$6:$J$182,0),MATCH(AF$5,'IND tech'!$L$3:$V$3,0))</f>
        <v>0.95</v>
      </c>
      <c r="AG76" s="91">
        <f>-AH76/(1+AH76)</f>
        <v>-0.12467663712189259</v>
      </c>
      <c r="AH76" s="91">
        <f>'401.c Post comb - Cement kiln'!$F$11*IND_CCS!AT76</f>
        <v>0.14243494736842108</v>
      </c>
      <c r="AJ76" s="91">
        <f>'401.c Post comb - Cement kiln'!$F$28*7.45*AT76</f>
        <v>2.8940191578947374</v>
      </c>
      <c r="AK76" s="91">
        <f>'401.c Post comb - Cement kiln'!$F$34*IND_CCS!AT76*7.45</f>
        <v>8.6820574736842127E-2</v>
      </c>
      <c r="AL76" s="91">
        <f>$AM$8*'401.c Post comb - Cement kiln'!$F$35*7.45</f>
        <v>0.58735800000000005</v>
      </c>
      <c r="AR76" s="91">
        <f>Emissions!$F$11/AF76</f>
        <v>59.947368421052637</v>
      </c>
      <c r="AS76" s="91">
        <f>IF(RIGHT(H76,2)="HT",$AZ$4/$AZ$5,0)</f>
        <v>0</v>
      </c>
      <c r="AT76" s="91">
        <f>$AM$8*(SUM($AR76:$AS76))*1000/8760</f>
        <v>0.21581052631578951</v>
      </c>
    </row>
    <row r="77" spans="1:46" s="91" customFormat="1">
      <c r="A77" s="91" t="str">
        <f>A76</f>
        <v>INDGDMTGASN3</v>
      </c>
      <c r="G77" s="91" t="s">
        <v>310</v>
      </c>
      <c r="J77" s="91">
        <v>2050</v>
      </c>
      <c r="U77" s="91">
        <f>AI77</f>
        <v>3.8845894736842107E-3</v>
      </c>
      <c r="AI77" s="91">
        <f>'401.c Post comb - Cement kiln'!$F$12*IND_CCS!AT76</f>
        <v>3.8845894736842107E-3</v>
      </c>
    </row>
    <row r="78" spans="1:46" s="91" customFormat="1">
      <c r="A78" s="91" t="str">
        <f>A77</f>
        <v>INDGDMTGASN3</v>
      </c>
      <c r="C78" s="91" t="s">
        <v>785</v>
      </c>
      <c r="I78" s="91" t="str">
        <f>'IND tech'!$I$132</f>
        <v>INDGWH</v>
      </c>
      <c r="J78" s="91">
        <v>2050</v>
      </c>
      <c r="V78" s="91" cm="1">
        <f t="array" ref="V78">INDEX('IND tech'!$L$6:$V$182,MATCH($A76&amp;$J76,'IND tech'!$A$6:$A$182&amp;'IND tech'!$J$6:$J$182,0),MATCH(V$5,'IND tech'!$L$3:$V$3,0))</f>
        <v>0.25000000000000006</v>
      </c>
      <c r="Y78" s="82"/>
      <c r="Z78" s="82"/>
      <c r="AC78" s="82"/>
    </row>
    <row r="79" spans="1:46" s="91" customFormat="1">
      <c r="A79" s="91" t="str">
        <f>A78</f>
        <v>INDGDMTGASN3</v>
      </c>
      <c r="I79" s="91" t="s">
        <v>596</v>
      </c>
      <c r="J79" s="91">
        <v>2050</v>
      </c>
      <c r="V79" s="91">
        <f>SUM(AR76:AS76)</f>
        <v>59.947368421052637</v>
      </c>
    </row>
    <row r="80" spans="1:46" s="91" customFormat="1">
      <c r="A80" s="91" t="str">
        <f>IF(C80&gt;0,LEFT(C80,12),A79)</f>
        <v>INDGDRHGASN3</v>
      </c>
      <c r="C80" s="91" t="str">
        <f>'IND tech'!D150&amp;"CCS"</f>
        <v>INDGDRHGASN3CCS</v>
      </c>
      <c r="D80" s="91" t="str">
        <f>'IND tech'!E150&amp;"CCS"</f>
        <v>Industrial heating technology Glass &amp; Concrete RH - Gas boiler (Hot Water) - new 3CCS</v>
      </c>
      <c r="E80" s="91" t="s">
        <v>791</v>
      </c>
      <c r="F80" s="91" t="str">
        <f>'IND tech'!$G$132</f>
        <v>INDNGA, INDBGA, INDSNG1, INDSNG2, INDLPG</v>
      </c>
      <c r="H80" s="91" t="str">
        <f>"IGD"&amp;MID(C80,6,2)</f>
        <v>IGDRH</v>
      </c>
      <c r="J80" s="91">
        <v>2020</v>
      </c>
      <c r="K80" s="91">
        <v>2020</v>
      </c>
      <c r="L80" s="82">
        <f>AF80+AG80</f>
        <v>0.77485419206566364</v>
      </c>
      <c r="M80" s="91" cm="1">
        <f t="array" ref="M80">INDEX('IND tech'!$L$6:$V$182,MATCH($A80&amp;$J80,'IND tech'!$A$6:$A$182&amp;'IND tech'!$J$6:$J$182,0),MATCH(M$5,'IND tech'!$L$3:$V$3,0))</f>
        <v>25</v>
      </c>
      <c r="N80" s="383" cm="1">
        <f t="array" ref="N80">INDEX('IND tech'!$L$6:$V$182,MATCH($A80&amp;$J80,'IND tech'!$A$6:$A$182&amp;'IND tech'!$J$6:$J$182,0),MATCH(N$5,'IND tech'!$L$3:$V$3,0))+AJ80</f>
        <v>5.2521844574780072</v>
      </c>
      <c r="O80" s="383" cm="1">
        <f t="array" ref="O80">INDEX('IND tech'!$L$6:$V$182,MATCH($A80&amp;$J80,'IND tech'!$A$6:$A$182&amp;'IND tech'!$J$6:$J$182,0),MATCH(O$5,'IND tech'!$L$3:$V$3,0))+AK80</f>
        <v>0.1627128064516129</v>
      </c>
      <c r="P80" s="383" cm="1">
        <f t="array" ref="P80">INDEX('IND tech'!$L$6:$V$182,MATCH($A80&amp;$J80,'IND tech'!$A$6:$A$182&amp;'IND tech'!$J$6:$J$182,0),MATCH(P$5,'IND tech'!$L$3:$V$3,0))+AL80</f>
        <v>2.8637468888888891</v>
      </c>
      <c r="Q80" s="91" cm="1">
        <f t="array" ref="Q80">INDEX('IND tech'!$L$6:$V$182,MATCH($A80&amp;$J80,'IND tech'!$A$6:$A$182&amp;'IND tech'!$J$6:$J$182,0),MATCH(Q$5,'IND tech'!$L$3:$V$3,0))</f>
        <v>3.1536000000000002E-2</v>
      </c>
      <c r="R80" s="91">
        <v>0.95</v>
      </c>
      <c r="S80" s="91" cm="1">
        <f t="array" ref="S80">INDEX('IND tech'!$L$6:$V$182,MATCH($A80&amp;$J80,'IND tech'!$A$6:$A$182&amp;'IND tech'!$J$6:$J$182,0),MATCH(S$5,'IND tech'!$L$3:$V$3,0))</f>
        <v>1</v>
      </c>
      <c r="W80" s="91">
        <v>3</v>
      </c>
      <c r="Y80" s="82">
        <f>-1*PMT($Y$3,M80,N80*1000000)/Q80*R80/1000000</f>
        <v>10.127869870550912</v>
      </c>
      <c r="Z80" s="82">
        <f>O80*1000000/Q80*R80/1000000</f>
        <v>4.9016097833914332</v>
      </c>
      <c r="AA80" s="91">
        <f>SUMIFS('DMS marginal prices'!$G$8:$G$70,'DMS marginal prices'!$F$8:$F$70,J80,'DMS marginal prices'!$D$8:$D$70,"INDNGA")/L80+SUMIFS('DMS marginal prices'!$G$8:$G$70,'DMS marginal prices'!$F$8:$F$70,J81,'DMS marginal prices'!$D$8:$D$70,G81)*U81</f>
        <v>79.94127451922111</v>
      </c>
      <c r="AC80" s="82">
        <f>SUM(Y80:AB83)*1000/(V83*0.9)</f>
        <v>1723.2036168382015</v>
      </c>
      <c r="AF80" s="82" cm="1">
        <f t="array" ref="AF80">INDEX('IND tech'!$L$6:$V$182,MATCH($A80&amp;$J80,'IND tech'!$A$6:$A$182&amp;'IND tech'!$J$6:$J$182,0),MATCH(AF$5,'IND tech'!$L$3:$V$3,0))</f>
        <v>0.93</v>
      </c>
      <c r="AG80" s="91">
        <f>-AH80/(1+AH80)</f>
        <v>-0.15514580793433641</v>
      </c>
      <c r="AH80" s="91">
        <f>'401.c Post comb - Cement kiln'!$B$11*IND_CCS!AT80</f>
        <v>0.18363619354838709</v>
      </c>
      <c r="AJ80" s="91">
        <f>'401.c Post comb - Cement kiln'!$B$28*7.45*AT80</f>
        <v>4.9270935483870977</v>
      </c>
      <c r="AK80" s="91">
        <f>'401.c Post comb - Cement kiln'!$B$34*IND_CCS!AT80*7.45</f>
        <v>0.1478128064516129</v>
      </c>
      <c r="AL80" s="91">
        <f>$AM$8*'401.c Post comb - Cement kiln'!$B$35*7.45</f>
        <v>0.58735800000000005</v>
      </c>
      <c r="AM80" s="91">
        <f>8760*3.6/1000000</f>
        <v>3.1536000000000002E-2</v>
      </c>
      <c r="AR80" s="91">
        <f>Emissions!$F$11/AF80</f>
        <v>61.236559139784944</v>
      </c>
      <c r="AS80" s="91">
        <f>IF(RIGHT(H80,2)="HT",$AZ$4/$AZ$5,0)</f>
        <v>0</v>
      </c>
      <c r="AT80" s="91">
        <f>$AM$8*(SUM($AR80:$AS80))*1000/8760</f>
        <v>0.22045161290322582</v>
      </c>
    </row>
    <row r="81" spans="1:46" s="91" customFormat="1">
      <c r="A81" s="91" t="str">
        <f>A80</f>
        <v>INDGDRHGASN3</v>
      </c>
      <c r="G81" s="91" t="s">
        <v>310</v>
      </c>
      <c r="J81" s="91">
        <v>2020</v>
      </c>
      <c r="U81" s="91">
        <f>AI81</f>
        <v>5.5112903225806456E-3</v>
      </c>
      <c r="AI81" s="91">
        <f>'401.c Post comb - Cement kiln'!$B$12*IND_CCS!AT80</f>
        <v>5.5112903225806456E-3</v>
      </c>
    </row>
    <row r="82" spans="1:46" s="91" customFormat="1">
      <c r="A82" s="91" t="str">
        <f>A81</f>
        <v>INDGDRHGASN3</v>
      </c>
      <c r="C82" s="91" t="s">
        <v>785</v>
      </c>
      <c r="I82" s="91" t="str">
        <f>'IND tech'!$I$132</f>
        <v>INDGWH</v>
      </c>
      <c r="J82" s="91">
        <v>2020</v>
      </c>
      <c r="V82" s="91" cm="1">
        <f t="array" ref="V82">INDEX('IND tech'!$L$6:$V$182,MATCH($A80&amp;$J80,'IND tech'!$A$6:$A$182&amp;'IND tech'!$J$6:$J$182,0),MATCH(V$5,'IND tech'!$L$3:$V$3,0))</f>
        <v>6.9999999999999951E-2</v>
      </c>
      <c r="Y82" s="82"/>
      <c r="Z82" s="82"/>
      <c r="AC82" s="82"/>
    </row>
    <row r="83" spans="1:46" s="91" customFormat="1">
      <c r="A83" s="91" t="str">
        <f>A82</f>
        <v>INDGDRHGASN3</v>
      </c>
      <c r="I83" s="91" t="s">
        <v>596</v>
      </c>
      <c r="J83" s="91">
        <v>2020</v>
      </c>
      <c r="V83" s="91">
        <f>SUM(AR80:AS80)</f>
        <v>61.236559139784944</v>
      </c>
    </row>
    <row r="84" spans="1:46" s="91" customFormat="1">
      <c r="A84" s="91" t="str">
        <f>IF(C84&gt;0,LEFT(C84,12),A83)</f>
        <v>INDGDRHGASN3</v>
      </c>
      <c r="F84" s="91" t="str">
        <f>F80</f>
        <v>INDNGA, INDBGA, INDSNG1, INDSNG2, INDLPG</v>
      </c>
      <c r="H84" s="91" t="str">
        <f>H80</f>
        <v>IGDRH</v>
      </c>
      <c r="J84" s="91">
        <v>2030</v>
      </c>
      <c r="L84" s="82">
        <f>AF84+AG84</f>
        <v>0.80427689813595693</v>
      </c>
      <c r="N84" s="383" cm="1">
        <f t="array" ref="N84">INDEX('IND tech'!$L$6:$V$182,MATCH($A84&amp;$J84,'IND tech'!$A$6:$A$182&amp;'IND tech'!$J$6:$J$182,0),MATCH(N$5,'IND tech'!$L$3:$V$3,0))+AJ84</f>
        <v>4.4956297292069634</v>
      </c>
      <c r="O84" s="383" cm="1">
        <f t="array" ref="O84">INDEX('IND tech'!$L$6:$V$182,MATCH($A84&amp;$J84,'IND tech'!$A$6:$A$182&amp;'IND tech'!$J$6:$J$182,0),MATCH(O$5,'IND tech'!$L$3:$V$3,0))+AK84</f>
        <v>0.1408966191489362</v>
      </c>
      <c r="P84" s="383" cm="1">
        <f t="array" ref="P84">INDEX('IND tech'!$L$6:$V$182,MATCH($A84&amp;$J84,'IND tech'!$A$6:$A$182&amp;'IND tech'!$J$6:$J$182,0),MATCH(P$5,'IND tech'!$L$3:$V$3,0))+AL84</f>
        <v>2.6568024444444447</v>
      </c>
      <c r="W84" s="91">
        <v>3</v>
      </c>
      <c r="Y84" s="82">
        <f>-1*PMT($Y$3,M80,N84*1000000)/Q80*R80/1000000</f>
        <v>8.6689934925574388</v>
      </c>
      <c r="Z84" s="82">
        <f>O84*1000000/Q80*R80/1000000</f>
        <v>4.2444123602070452</v>
      </c>
      <c r="AA84" s="91">
        <f>SUMIFS('DMS marginal prices'!$G$8:$G$70,'DMS marginal prices'!$F$8:$F$70,J84,'DMS marginal prices'!$D$8:$D$70,"INDNGA")/L84+SUMIFS('DMS marginal prices'!$G$8:$G$70,'DMS marginal prices'!$F$8:$F$70,J85,'DMS marginal prices'!$D$8:$D$70,G85)*U85</f>
        <v>110.81061465850276</v>
      </c>
      <c r="AC84" s="82">
        <f>SUM(Y84:AB87)*1000/(V87*0.9)</f>
        <v>2269.058224184786</v>
      </c>
      <c r="AF84" s="82" cm="1">
        <f t="array" ref="AF84">INDEX('IND tech'!$L$6:$V$182,MATCH($A84&amp;$J84,'IND tech'!$A$6:$A$182&amp;'IND tech'!$J$6:$J$182,0),MATCH(AF$5,'IND tech'!$L$3:$V$3,0))</f>
        <v>0.94</v>
      </c>
      <c r="AG84" s="91">
        <f>-AH84/(1+AH84)</f>
        <v>-0.13572310186404299</v>
      </c>
      <c r="AH84" s="91">
        <f>'401.c Post comb - Cement kiln'!$D$11*IND_CCS!AT84</f>
        <v>0.15703659574468085</v>
      </c>
      <c r="AJ84" s="91">
        <f>'401.c Post comb - Cement kiln'!$D$28*7.45*AT84</f>
        <v>4.2247206382978728</v>
      </c>
      <c r="AK84" s="91">
        <f>'401.c Post comb - Cement kiln'!$D$34*IND_CCS!AT84*7.45</f>
        <v>0.1267416191489362</v>
      </c>
      <c r="AL84" s="91">
        <f>$AM$8*'401.c Post comb - Cement kiln'!$D$35*7.45</f>
        <v>0.58735800000000005</v>
      </c>
      <c r="AR84" s="91">
        <f>Emissions!$F$11/AF84</f>
        <v>60.585106382978729</v>
      </c>
      <c r="AS84" s="91">
        <f>IF(RIGHT(H84,2)="HT",$AZ$4/$AZ$5,0)</f>
        <v>0</v>
      </c>
      <c r="AT84" s="91">
        <f>$AM$8*(SUM($AR84:$AS84))*1000/8760</f>
        <v>0.21810638297872342</v>
      </c>
    </row>
    <row r="85" spans="1:46" s="91" customFormat="1">
      <c r="A85" s="91" t="str">
        <f>A84</f>
        <v>INDGDRHGASN3</v>
      </c>
      <c r="G85" s="91" t="s">
        <v>310</v>
      </c>
      <c r="J85" s="91">
        <v>2030</v>
      </c>
      <c r="U85" s="91">
        <f>AI85</f>
        <v>4.7983404255319152E-3</v>
      </c>
      <c r="AI85" s="91">
        <f>'401.c Post comb - Cement kiln'!$D$12*IND_CCS!AT84</f>
        <v>4.7983404255319152E-3</v>
      </c>
    </row>
    <row r="86" spans="1:46" s="91" customFormat="1">
      <c r="A86" s="91" t="str">
        <f>A85</f>
        <v>INDGDRHGASN3</v>
      </c>
      <c r="C86" s="91" t="s">
        <v>785</v>
      </c>
      <c r="I86" s="91" t="str">
        <f>'IND tech'!$I$132</f>
        <v>INDGWH</v>
      </c>
      <c r="J86" s="91">
        <v>2030</v>
      </c>
      <c r="V86" s="91" cm="1">
        <f t="array" ref="V86">INDEX('IND tech'!$L$6:$V$182,MATCH($A84&amp;$J84,'IND tech'!$A$6:$A$182&amp;'IND tech'!$J$6:$J$182,0),MATCH(V$5,'IND tech'!$L$3:$V$3,0))</f>
        <v>6.0000000000000053E-2</v>
      </c>
      <c r="Y86" s="82"/>
      <c r="Z86" s="82"/>
      <c r="AC86" s="82"/>
    </row>
    <row r="87" spans="1:46" s="91" customFormat="1">
      <c r="A87" s="91" t="str">
        <f>A86</f>
        <v>INDGDRHGASN3</v>
      </c>
      <c r="I87" s="91" t="s">
        <v>596</v>
      </c>
      <c r="J87" s="91">
        <v>2030</v>
      </c>
      <c r="V87" s="91">
        <f>SUM(AR84:AS84)</f>
        <v>60.585106382978729</v>
      </c>
    </row>
    <row r="88" spans="1:46" s="91" customFormat="1">
      <c r="A88" s="91" t="str">
        <f>IF(C88&gt;0,LEFT(C88,12),A87)</f>
        <v>INDGDRHGASN3</v>
      </c>
      <c r="F88" s="91" t="str">
        <f>F84</f>
        <v>INDNGA, INDBGA, INDSNG1, INDSNG2, INDLPG</v>
      </c>
      <c r="H88" s="91" t="str">
        <f>H84</f>
        <v>IGDRH</v>
      </c>
      <c r="J88" s="91">
        <v>2050</v>
      </c>
      <c r="L88" s="82">
        <f>AF88+AG88</f>
        <v>0.82532336287810737</v>
      </c>
      <c r="N88" s="383" cm="1">
        <f t="array" ref="N88">INDEX('IND tech'!$L$6:$V$182,MATCH($A88&amp;$J88,'IND tech'!$A$6:$A$182&amp;'IND tech'!$J$6:$J$182,0),MATCH(N$5,'IND tech'!$L$3:$V$3,0))+AJ88</f>
        <v>3.1649282488038284</v>
      </c>
      <c r="O88" s="383" cm="1">
        <f t="array" ref="O88">INDEX('IND tech'!$L$6:$V$182,MATCH($A88&amp;$J88,'IND tech'!$A$6:$A$182&amp;'IND tech'!$J$6:$J$182,0),MATCH(O$5,'IND tech'!$L$3:$V$3,0))+AK88</f>
        <v>9.9485574736842122E-2</v>
      </c>
      <c r="P88" s="383" cm="1">
        <f t="array" ref="P88">INDEX('IND tech'!$L$6:$V$182,MATCH($A88&amp;$J88,'IND tech'!$A$6:$A$182&amp;'IND tech'!$J$6:$J$182,0),MATCH(P$5,'IND tech'!$L$3:$V$3,0))+AL88</f>
        <v>2.6568024444444447</v>
      </c>
      <c r="W88" s="91">
        <v>3</v>
      </c>
      <c r="Y88" s="82">
        <f>-1*PMT($Y$3,M80,N88*1000000)/Q80*R80/1000000</f>
        <v>6.1029809049980379</v>
      </c>
      <c r="Z88" s="82">
        <f>O88*1000000/Q80*R80/1000000</f>
        <v>2.9969335362760026</v>
      </c>
      <c r="AA88" s="91">
        <f>SUMIFS('DMS marginal prices'!$G$8:$G$70,'DMS marginal prices'!$F$8:$F$70,J88,'DMS marginal prices'!$D$8:$D$70,"INDNGA")/L88+SUMIFS('DMS marginal prices'!$G$8:$G$70,'DMS marginal prices'!$F$8:$F$70,J89,'DMS marginal prices'!$D$8:$D$70,G89)*U89</f>
        <v>153.71274593607083</v>
      </c>
      <c r="AC88" s="82">
        <f>SUM(Y88:AB91)*1000/(V91*0.9)</f>
        <v>3017.6963683246045</v>
      </c>
      <c r="AF88" s="82" cm="1">
        <f t="array" ref="AF88">INDEX('IND tech'!$L$6:$V$182,MATCH($A88&amp;$J88,'IND tech'!$A$6:$A$182&amp;'IND tech'!$J$6:$J$182,0),MATCH(AF$5,'IND tech'!$L$3:$V$3,0))</f>
        <v>0.95</v>
      </c>
      <c r="AG88" s="91">
        <f>-AH88/(1+AH88)</f>
        <v>-0.12467663712189259</v>
      </c>
      <c r="AH88" s="91">
        <f>'401.c Post comb - Cement kiln'!$F$11*IND_CCS!AT88</f>
        <v>0.14243494736842108</v>
      </c>
      <c r="AJ88" s="91">
        <f>'401.c Post comb - Cement kiln'!$F$28*7.45*AT88</f>
        <v>2.8940191578947374</v>
      </c>
      <c r="AK88" s="91">
        <f>'401.c Post comb - Cement kiln'!$F$34*IND_CCS!AT88*7.45</f>
        <v>8.6820574736842127E-2</v>
      </c>
      <c r="AL88" s="91">
        <f>$AM$8*'401.c Post comb - Cement kiln'!$F$35*7.45</f>
        <v>0.58735800000000005</v>
      </c>
      <c r="AR88" s="91">
        <f>Emissions!$F$11/AF88</f>
        <v>59.947368421052637</v>
      </c>
      <c r="AS88" s="91">
        <f>IF(RIGHT(H88,2)="HT",$AZ$4/$AZ$5,0)</f>
        <v>0</v>
      </c>
      <c r="AT88" s="91">
        <f>$AM$8*(SUM($AR88:$AS88))*1000/8760</f>
        <v>0.21581052631578951</v>
      </c>
    </row>
    <row r="89" spans="1:46" s="91" customFormat="1">
      <c r="A89" s="91" t="str">
        <f>A88</f>
        <v>INDGDRHGASN3</v>
      </c>
      <c r="G89" s="91" t="s">
        <v>310</v>
      </c>
      <c r="J89" s="91">
        <v>2050</v>
      </c>
      <c r="U89" s="91">
        <f>AI89</f>
        <v>3.8845894736842107E-3</v>
      </c>
      <c r="AI89" s="91">
        <f>'401.c Post comb - Cement kiln'!$F$12*IND_CCS!AT88</f>
        <v>3.8845894736842107E-3</v>
      </c>
    </row>
    <row r="90" spans="1:46" s="91" customFormat="1">
      <c r="A90" s="91" t="str">
        <f>A89</f>
        <v>INDGDRHGASN3</v>
      </c>
      <c r="C90" s="91" t="s">
        <v>785</v>
      </c>
      <c r="I90" s="91" t="str">
        <f>'IND tech'!$I$132</f>
        <v>INDGWH</v>
      </c>
      <c r="J90" s="91">
        <v>2050</v>
      </c>
      <c r="V90" s="91" cm="1">
        <f t="array" ref="V90">INDEX('IND tech'!$L$6:$V$182,MATCH($A88&amp;$J88,'IND tech'!$A$6:$A$182&amp;'IND tech'!$J$6:$J$182,0),MATCH(V$5,'IND tech'!$L$3:$V$3,0))</f>
        <v>5.0000000000000044E-2</v>
      </c>
      <c r="Y90" s="82"/>
      <c r="Z90" s="82"/>
      <c r="AC90" s="82"/>
    </row>
    <row r="91" spans="1:46" s="91" customFormat="1">
      <c r="A91" s="91" t="str">
        <f>A90</f>
        <v>INDGDRHGASN3</v>
      </c>
      <c r="I91" s="91" t="s">
        <v>596</v>
      </c>
      <c r="J91" s="91">
        <v>2050</v>
      </c>
      <c r="V91" s="91">
        <f>SUM(AR88:AS88)</f>
        <v>59.947368421052637</v>
      </c>
    </row>
    <row r="92" spans="1:46" s="91" customFormat="1">
      <c r="A92" s="91" t="str">
        <f>IF(C92&gt;0,LEFT(C92,12),A91)</f>
        <v>INDGDMTGASN4</v>
      </c>
      <c r="C92" s="91" t="str">
        <f>'IND tech'!D153&amp;"CCS"</f>
        <v>INDGDMTGASN4CCS</v>
      </c>
      <c r="D92" s="91" t="str">
        <f>'IND tech'!E153&amp;"CCS"</f>
        <v>Industrial heating technology Glass &amp; Concrete MT - Gas boiler (Hot Water - condensing) - new 4CCS</v>
      </c>
      <c r="E92" s="91" t="s">
        <v>791</v>
      </c>
      <c r="F92" s="91" t="str">
        <f>'IND tech'!$G$132</f>
        <v>INDNGA, INDBGA, INDSNG1, INDSNG2, INDLPG</v>
      </c>
      <c r="H92" s="91" t="str">
        <f>"IGD"&amp;MID(C92,6,2)</f>
        <v>IGDMT</v>
      </c>
      <c r="J92" s="91">
        <v>2020</v>
      </c>
      <c r="K92" s="91">
        <v>2020</v>
      </c>
      <c r="L92" s="82">
        <f>AF92+AG92</f>
        <v>0.86536558892691473</v>
      </c>
      <c r="M92" s="91" cm="1">
        <f t="array" ref="M92">INDEX('IND tech'!$L$6:$V$182,MATCH($A92&amp;$J92,'IND tech'!$A$6:$A$182&amp;'IND tech'!$J$6:$J$182,0),MATCH(M$5,'IND tech'!$L$3:$V$3,0))</f>
        <v>25</v>
      </c>
      <c r="N92" s="383" cm="1">
        <f t="array" ref="N92">INDEX('IND tech'!$L$6:$V$182,MATCH($A92&amp;$J92,'IND tech'!$A$6:$A$182&amp;'IND tech'!$J$6:$J$182,0),MATCH(N$5,'IND tech'!$L$3:$V$3,0))+AJ92</f>
        <v>4.8944287128712878</v>
      </c>
      <c r="O92" s="383" cm="1">
        <f t="array" ref="O92">INDEX('IND tech'!$L$6:$V$182,MATCH($A92&amp;$J92,'IND tech'!$A$6:$A$182&amp;'IND tech'!$J$6:$J$182,0),MATCH(O$5,'IND tech'!$L$3:$V$3,0))+AK92</f>
        <v>0.15100486138613864</v>
      </c>
      <c r="P92" s="383" cm="1">
        <f t="array" ref="P92">INDEX('IND tech'!$L$6:$V$182,MATCH($A92&amp;$J92,'IND tech'!$A$6:$A$182&amp;'IND tech'!$J$6:$J$182,0),MATCH(P$5,'IND tech'!$L$3:$V$3,0))+AL92</f>
        <v>2.8637468888888891</v>
      </c>
      <c r="Q92" s="91" cm="1">
        <f t="array" ref="Q92">INDEX('IND tech'!$L$6:$V$182,MATCH($A92&amp;$J92,'IND tech'!$A$6:$A$182&amp;'IND tech'!$J$6:$J$182,0),MATCH(Q$5,'IND tech'!$L$3:$V$3,0))</f>
        <v>3.1536000000000002E-2</v>
      </c>
      <c r="R92" s="91">
        <v>0.95</v>
      </c>
      <c r="S92" s="91" cm="1">
        <f t="array" ref="S92">INDEX('IND tech'!$L$6:$V$182,MATCH($A92&amp;$J92,'IND tech'!$A$6:$A$182&amp;'IND tech'!$J$6:$J$182,0),MATCH(S$5,'IND tech'!$L$3:$V$3,0))</f>
        <v>0</v>
      </c>
      <c r="W92" s="91">
        <v>3</v>
      </c>
      <c r="Y92" s="82">
        <f>-1*PMT($Y$3,M92,N92*1000000)/Q92*R92/1000000</f>
        <v>9.4380038431572881</v>
      </c>
      <c r="Z92" s="82">
        <f>O92*1000000/Q92*R92/1000000</f>
        <v>4.548916105937078</v>
      </c>
      <c r="AA92" s="91">
        <f>SUMIFS('DMS marginal prices'!$G$8:$G$70,'DMS marginal prices'!$F$8:$F$70,J92,'DMS marginal prices'!$D$8:$D$70,"INDNGA")/L92+SUMIFS('DMS marginal prices'!$G$8:$G$70,'DMS marginal prices'!$F$8:$F$70,J93,'DMS marginal prices'!$D$8:$D$70,G93)*U93</f>
        <v>71.600907009427516</v>
      </c>
      <c r="AC92" s="82">
        <f>SUM(Y92:AB95)*1000/(V95*0.9)</f>
        <v>1686.5419028018164</v>
      </c>
      <c r="AF92" s="82" cm="1">
        <f t="array" ref="AF92">INDEX('IND tech'!$L$6:$V$182,MATCH($A92&amp;$J92,'IND tech'!$A$6:$A$182&amp;'IND tech'!$J$6:$J$182,0),MATCH(AF$5,'IND tech'!$L$3:$V$3,0))</f>
        <v>1.01</v>
      </c>
      <c r="AG92" s="91">
        <f>-AH92/(1+AH92)</f>
        <v>-0.14463441107308525</v>
      </c>
      <c r="AH92" s="91">
        <f>'401.c Post comb - Cement kiln'!$B$11*IND_CCS!AT92</f>
        <v>0.16909075247524752</v>
      </c>
      <c r="AJ92" s="91">
        <f>'401.c Post comb - Cement kiln'!$B$28*7.45*AT92</f>
        <v>4.5368287128712881</v>
      </c>
      <c r="AK92" s="91">
        <f>'401.c Post comb - Cement kiln'!$B$34*IND_CCS!AT92*7.45</f>
        <v>0.13610486138613864</v>
      </c>
      <c r="AL92" s="91">
        <f>$AM$8*'401.c Post comb - Cement kiln'!$B$35*7.45</f>
        <v>0.58735800000000005</v>
      </c>
      <c r="AM92" s="91">
        <f>8760*3.6/1000000</f>
        <v>3.1536000000000002E-2</v>
      </c>
      <c r="AR92" s="91">
        <f>Emissions!$F$11/AF92</f>
        <v>56.386138613861391</v>
      </c>
      <c r="AS92" s="91">
        <f>IF(RIGHT(H92,2)="HT",$AZ$4/$AZ$5,0)</f>
        <v>0</v>
      </c>
      <c r="AT92" s="91">
        <f>$AM$8*(SUM($AR92:$AS92))*1000/8760</f>
        <v>0.202990099009901</v>
      </c>
    </row>
    <row r="93" spans="1:46" s="91" customFormat="1">
      <c r="A93" s="91" t="str">
        <f>A92</f>
        <v>INDGDMTGASN4</v>
      </c>
      <c r="G93" s="91" t="s">
        <v>310</v>
      </c>
      <c r="J93" s="91">
        <v>2020</v>
      </c>
      <c r="U93" s="91">
        <f>AI93</f>
        <v>5.0747524752475254E-3</v>
      </c>
      <c r="AI93" s="91">
        <f>'401.c Post comb - Cement kiln'!$B$12*IND_CCS!AT92</f>
        <v>5.0747524752475254E-3</v>
      </c>
    </row>
    <row r="94" spans="1:46" s="91" customFormat="1">
      <c r="A94" s="91" t="str">
        <f>A93</f>
        <v>INDGDMTGASN4</v>
      </c>
      <c r="C94" s="91" t="s">
        <v>785</v>
      </c>
      <c r="I94" s="91" t="str">
        <f>'IND tech'!$I$132</f>
        <v>INDGWH</v>
      </c>
      <c r="J94" s="91">
        <v>2020</v>
      </c>
      <c r="V94" s="91" cm="1">
        <f t="array" ref="V94">INDEX('IND tech'!$L$6:$V$182,MATCH($A92&amp;$J92,'IND tech'!$A$6:$A$182&amp;'IND tech'!$J$6:$J$182,0),MATCH(V$5,'IND tech'!$L$3:$V$3,0))</f>
        <v>0.19</v>
      </c>
      <c r="Y94" s="82"/>
      <c r="Z94" s="82"/>
      <c r="AC94" s="82"/>
    </row>
    <row r="95" spans="1:46" s="91" customFormat="1">
      <c r="A95" s="91" t="str">
        <f>A94</f>
        <v>INDGDMTGASN4</v>
      </c>
      <c r="I95" s="91" t="s">
        <v>596</v>
      </c>
      <c r="J95" s="91">
        <v>2020</v>
      </c>
      <c r="V95" s="91">
        <f>SUM(AR92:AS92)</f>
        <v>56.386138613861391</v>
      </c>
    </row>
    <row r="96" spans="1:46" s="91" customFormat="1">
      <c r="A96" s="91" t="str">
        <f>IF(C96&gt;0,LEFT(C96,12),A95)</f>
        <v>INDGDMTGASN4</v>
      </c>
      <c r="F96" s="91" t="str">
        <f>F92</f>
        <v>INDNGA, INDBGA, INDSNG1, INDSNG2, INDLPG</v>
      </c>
      <c r="H96" s="91" t="str">
        <f>H92</f>
        <v>IGDMT</v>
      </c>
      <c r="J96" s="91">
        <v>2030</v>
      </c>
      <c r="L96" s="82">
        <f>AF96+AG96</f>
        <v>0.90464963064310355</v>
      </c>
      <c r="N96" s="383" cm="1">
        <f t="array" ref="N96">INDEX('IND tech'!$L$6:$V$182,MATCH($A96&amp;$J96,'IND tech'!$A$6:$A$182&amp;'IND tech'!$J$6:$J$182,0),MATCH(N$5,'IND tech'!$L$3:$V$3,0))+AJ96</f>
        <v>4.1535702912621364</v>
      </c>
      <c r="O96" s="383" cm="1">
        <f t="array" ref="O96">INDEX('IND tech'!$L$6:$V$182,MATCH($A96&amp;$J96,'IND tech'!$A$6:$A$182&amp;'IND tech'!$J$6:$J$182,0),MATCH(O$5,'IND tech'!$L$3:$V$3,0))+AK96</f>
        <v>0.12982210873786409</v>
      </c>
      <c r="P96" s="383" cm="1">
        <f t="array" ref="P96">INDEX('IND tech'!$L$6:$V$182,MATCH($A96&amp;$J96,'IND tech'!$A$6:$A$182&amp;'IND tech'!$J$6:$J$182,0),MATCH(P$5,'IND tech'!$L$3:$V$3,0))+AL96</f>
        <v>2.6568024444444447</v>
      </c>
      <c r="W96" s="91">
        <v>3</v>
      </c>
      <c r="Y96" s="82">
        <f>-1*PMT($Y$3,M92,N96*1000000)/Q92*R92/1000000</f>
        <v>8.0093949000962557</v>
      </c>
      <c r="Z96" s="82">
        <f>O96*1000000/Q92*R92/1000000</f>
        <v>3.9108004598227701</v>
      </c>
      <c r="AA96" s="91">
        <f>SUMIFS('DMS marginal prices'!$G$8:$G$70,'DMS marginal prices'!$F$8:$F$70,J96,'DMS marginal prices'!$D$8:$D$70,"INDNGA")/L96+SUMIFS('DMS marginal prices'!$G$8:$G$70,'DMS marginal prices'!$F$8:$F$70,J97,'DMS marginal prices'!$D$8:$D$70,G97)*U97</f>
        <v>98.534285055974664</v>
      </c>
      <c r="AC96" s="82">
        <f>SUM(Y96:AB99)*1000/(V99*0.9)</f>
        <v>2219.6491040556143</v>
      </c>
      <c r="AF96" s="82" cm="1">
        <f t="array" ref="AF96">INDEX('IND tech'!$L$6:$V$182,MATCH($A96&amp;$J96,'IND tech'!$A$6:$A$182&amp;'IND tech'!$J$6:$J$182,0),MATCH(AF$5,'IND tech'!$L$3:$V$3,0))</f>
        <v>1.03</v>
      </c>
      <c r="AG96" s="91">
        <f>-AH96/(1+AH96)</f>
        <v>-0.12535036935689645</v>
      </c>
      <c r="AH96" s="91">
        <f>'401.c Post comb - Cement kiln'!$D$11*IND_CCS!AT96</f>
        <v>0.14331495145631068</v>
      </c>
      <c r="AJ96" s="91">
        <f>'401.c Post comb - Cement kiln'!$D$28*7.45*AT96</f>
        <v>3.8555702912621364</v>
      </c>
      <c r="AK96" s="91">
        <f>'401.c Post comb - Cement kiln'!$D$34*IND_CCS!AT96*7.45</f>
        <v>0.11566710873786409</v>
      </c>
      <c r="AL96" s="91">
        <f>$AM$8*'401.c Post comb - Cement kiln'!$D$35*7.45</f>
        <v>0.58735800000000005</v>
      </c>
      <c r="AR96" s="91">
        <f>Emissions!$F$11/AF96</f>
        <v>55.291262135922331</v>
      </c>
      <c r="AS96" s="91">
        <f>IF(RIGHT(H96,2)="HT",$AZ$4/$AZ$5,0)</f>
        <v>0</v>
      </c>
      <c r="AT96" s="91">
        <f>$AM$8*(SUM($AR96:$AS96))*1000/8760</f>
        <v>0.1990485436893204</v>
      </c>
    </row>
    <row r="97" spans="1:46" s="91" customFormat="1">
      <c r="A97" s="91" t="str">
        <f>A96</f>
        <v>INDGDMTGASN4</v>
      </c>
      <c r="G97" s="91" t="s">
        <v>310</v>
      </c>
      <c r="J97" s="91">
        <v>2030</v>
      </c>
      <c r="U97" s="91">
        <f>AI97</f>
        <v>4.379067961165049E-3</v>
      </c>
      <c r="AI97" s="91">
        <f>'401.c Post comb - Cement kiln'!$D$12*IND_CCS!AT96</f>
        <v>4.379067961165049E-3</v>
      </c>
    </row>
    <row r="98" spans="1:46" s="91" customFormat="1">
      <c r="A98" s="91" t="str">
        <f>A97</f>
        <v>INDGDMTGASN4</v>
      </c>
      <c r="C98" s="91" t="s">
        <v>785</v>
      </c>
      <c r="I98" s="91" t="str">
        <f>'IND tech'!$I$132</f>
        <v>INDGWH</v>
      </c>
      <c r="J98" s="91">
        <v>2030</v>
      </c>
      <c r="V98" s="91" cm="1">
        <f t="array" ref="V98">INDEX('IND tech'!$L$6:$V$182,MATCH($A96&amp;$J96,'IND tech'!$A$6:$A$182&amp;'IND tech'!$J$6:$J$182,0),MATCH(V$5,'IND tech'!$L$3:$V$3,0))</f>
        <v>0.16999999999999998</v>
      </c>
      <c r="Y98" s="82"/>
      <c r="Z98" s="82"/>
      <c r="AC98" s="82"/>
    </row>
    <row r="99" spans="1:46" s="91" customFormat="1">
      <c r="A99" s="91" t="str">
        <f>A98</f>
        <v>INDGDMTGASN4</v>
      </c>
      <c r="I99" s="91" t="s">
        <v>596</v>
      </c>
      <c r="J99" s="91">
        <v>2030</v>
      </c>
      <c r="V99" s="91">
        <f>SUM(AR96:AS96)</f>
        <v>55.291262135922331</v>
      </c>
    </row>
    <row r="100" spans="1:46" s="91" customFormat="1">
      <c r="A100" s="91" t="str">
        <f>IF(C100&gt;0,LEFT(C100,12),A99)</f>
        <v>INDGDMTGASN4</v>
      </c>
      <c r="F100" s="91" t="str">
        <f>F96</f>
        <v>INDNGA, INDBGA, INDSNG1, INDSNG2, INDLPG</v>
      </c>
      <c r="H100" s="91" t="str">
        <f>H96</f>
        <v>IGDMT</v>
      </c>
      <c r="J100" s="91">
        <v>2050</v>
      </c>
      <c r="L100" s="82">
        <f>AF100+AG100</f>
        <v>0.91388254762753918</v>
      </c>
      <c r="N100" s="383" cm="1">
        <f t="array" ref="N100">INDEX('IND tech'!$L$6:$V$182,MATCH($A100&amp;$J100,'IND tech'!$A$6:$A$182&amp;'IND tech'!$J$6:$J$182,0),MATCH(N$5,'IND tech'!$L$3:$V$3,0))+AJ100</f>
        <v>2.9672409708737866</v>
      </c>
      <c r="O100" s="383" cm="1">
        <f t="array" ref="O100">INDEX('IND tech'!$L$6:$V$182,MATCH($A100&amp;$J100,'IND tech'!$A$6:$A$182&amp;'IND tech'!$J$6:$J$182,0),MATCH(O$5,'IND tech'!$L$3:$V$3,0))+AK100</f>
        <v>9.2742229126213604E-2</v>
      </c>
      <c r="P100" s="383" cm="1">
        <f t="array" ref="P100">INDEX('IND tech'!$L$6:$V$182,MATCH($A100&amp;$J100,'IND tech'!$A$6:$A$182&amp;'IND tech'!$J$6:$J$182,0),MATCH(P$5,'IND tech'!$L$3:$V$3,0))+AL100</f>
        <v>2.6568024444444447</v>
      </c>
      <c r="W100" s="91">
        <v>3</v>
      </c>
      <c r="Y100" s="82">
        <f>-1*PMT($Y$3,M92,N100*1000000)/Q92*R92/1000000</f>
        <v>5.7217774186870693</v>
      </c>
      <c r="Z100" s="82">
        <f>O100*1000000/Q92*R92/1000000</f>
        <v>2.7937949540177232</v>
      </c>
      <c r="AA100" s="91">
        <f>SUMIFS('DMS marginal prices'!$G$8:$G$70,'DMS marginal prices'!$F$8:$F$70,J100,'DMS marginal prices'!$D$8:$D$70,"INDNGA")/L100+SUMIFS('DMS marginal prices'!$G$8:$G$70,'DMS marginal prices'!$F$8:$F$70,J101,'DMS marginal prices'!$D$8:$D$70,G101)*U101</f>
        <v>138.82699694370862</v>
      </c>
      <c r="AC100" s="82">
        <f>SUM(Y100:AB103)*1000/(V103*0.9)</f>
        <v>2960.9373991982402</v>
      </c>
      <c r="AF100" s="82" cm="1">
        <f t="array" ref="AF100">INDEX('IND tech'!$L$6:$V$182,MATCH($A100&amp;$J100,'IND tech'!$A$6:$A$182&amp;'IND tech'!$J$6:$J$182,0),MATCH(AF$5,'IND tech'!$L$3:$V$3,0))</f>
        <v>1.03</v>
      </c>
      <c r="AG100" s="91">
        <f>-AH100/(1+AH100)</f>
        <v>-0.11611745237246091</v>
      </c>
      <c r="AH100" s="91">
        <f>'401.c Post comb - Cement kiln'!$F$11*IND_CCS!AT100</f>
        <v>0.13137203883495147</v>
      </c>
      <c r="AJ100" s="91">
        <f>'401.c Post comb - Cement kiln'!$F$28*7.45*AT100</f>
        <v>2.6692409708737865</v>
      </c>
      <c r="AK100" s="91">
        <f>'401.c Post comb - Cement kiln'!$F$34*IND_CCS!AT100*7.45</f>
        <v>8.0077229126213609E-2</v>
      </c>
      <c r="AL100" s="91">
        <f>$AM$8*'401.c Post comb - Cement kiln'!$F$35*7.45</f>
        <v>0.58735800000000005</v>
      </c>
      <c r="AR100" s="91">
        <f>Emissions!$F$11/AF100</f>
        <v>55.291262135922331</v>
      </c>
      <c r="AS100" s="91">
        <f>IF(RIGHT(H100,2)="HT",$AZ$4/$AZ$5,0)</f>
        <v>0</v>
      </c>
      <c r="AT100" s="91">
        <f>$AM$8*(SUM($AR100:$AS100))*1000/8760</f>
        <v>0.1990485436893204</v>
      </c>
    </row>
    <row r="101" spans="1:46" s="91" customFormat="1">
      <c r="A101" s="91" t="str">
        <f>A100</f>
        <v>INDGDMTGASN4</v>
      </c>
      <c r="G101" s="91" t="s">
        <v>310</v>
      </c>
      <c r="J101" s="91">
        <v>2050</v>
      </c>
      <c r="U101" s="91">
        <f>AI101</f>
        <v>3.5828737864077669E-3</v>
      </c>
      <c r="AI101" s="91">
        <f>'401.c Post comb - Cement kiln'!$F$12*IND_CCS!AT100</f>
        <v>3.5828737864077669E-3</v>
      </c>
    </row>
    <row r="102" spans="1:46" s="91" customFormat="1">
      <c r="A102" s="91" t="str">
        <f>A101</f>
        <v>INDGDMTGASN4</v>
      </c>
      <c r="C102" s="91" t="s">
        <v>785</v>
      </c>
      <c r="I102" s="91" t="str">
        <f>'IND tech'!$I$132</f>
        <v>INDGWH</v>
      </c>
      <c r="J102" s="91">
        <v>2050</v>
      </c>
      <c r="V102" s="91" cm="1">
        <f t="array" ref="V102">INDEX('IND tech'!$L$6:$V$182,MATCH($A100&amp;$J100,'IND tech'!$A$6:$A$182&amp;'IND tech'!$J$6:$J$182,0),MATCH(V$5,'IND tech'!$L$3:$V$3,0))</f>
        <v>0.16999999999999998</v>
      </c>
      <c r="Y102" s="82"/>
      <c r="Z102" s="82"/>
      <c r="AC102" s="82"/>
    </row>
    <row r="103" spans="1:46" s="91" customFormat="1">
      <c r="A103" s="91" t="str">
        <f>A102</f>
        <v>INDGDMTGASN4</v>
      </c>
      <c r="I103" s="91" t="s">
        <v>596</v>
      </c>
      <c r="J103" s="91">
        <v>2050</v>
      </c>
      <c r="V103" s="91">
        <f>SUM(AR100:AS100)</f>
        <v>55.291262135922331</v>
      </c>
    </row>
    <row r="104" spans="1:46" s="91" customFormat="1">
      <c r="A104" s="91" t="str">
        <f>IF(C104&gt;0,LEFT(C104,12),A103)</f>
        <v>INDGDRHGASN4</v>
      </c>
      <c r="C104" s="91" t="str">
        <f>'IND tech'!D156&amp;"CCS"</f>
        <v>INDGDRHGASN4CCS</v>
      </c>
      <c r="D104" s="91" t="str">
        <f>'IND tech'!E156&amp;"CCS"</f>
        <v>Industrial heating technology Glass &amp; Concrete RH - Gas boiler (Hot Water- condensing) - new 4CCS</v>
      </c>
      <c r="E104" s="91" t="s">
        <v>791</v>
      </c>
      <c r="F104" s="91" t="str">
        <f>'IND tech'!$G$132</f>
        <v>INDNGA, INDBGA, INDSNG1, INDSNG2, INDLPG</v>
      </c>
      <c r="H104" s="91" t="str">
        <f>"IGD"&amp;MID(C104,6,2)</f>
        <v>IGDRH</v>
      </c>
      <c r="J104" s="91">
        <v>2020</v>
      </c>
      <c r="K104" s="91">
        <v>2020</v>
      </c>
      <c r="L104" s="82">
        <f>AF104+AG104</f>
        <v>0.86536558892691473</v>
      </c>
      <c r="M104" s="91" cm="1">
        <f t="array" ref="M104">INDEX('IND tech'!$L$6:$V$182,MATCH($A104&amp;$J104,'IND tech'!$A$6:$A$182&amp;'IND tech'!$J$6:$J$182,0),MATCH(M$5,'IND tech'!$L$3:$V$3,0))</f>
        <v>25</v>
      </c>
      <c r="N104" s="383" cm="1">
        <f t="array" ref="N104">INDEX('IND tech'!$L$6:$V$182,MATCH($A104&amp;$J104,'IND tech'!$A$6:$A$182&amp;'IND tech'!$J$6:$J$182,0),MATCH(N$5,'IND tech'!$L$3:$V$3,0))+AJ104</f>
        <v>4.8944287128712878</v>
      </c>
      <c r="O104" s="383" cm="1">
        <f t="array" ref="O104">INDEX('IND tech'!$L$6:$V$182,MATCH($A104&amp;$J104,'IND tech'!$A$6:$A$182&amp;'IND tech'!$J$6:$J$182,0),MATCH(O$5,'IND tech'!$L$3:$V$3,0))+AK104</f>
        <v>0.15100486138613864</v>
      </c>
      <c r="P104" s="383" cm="1">
        <f t="array" ref="P104">INDEX('IND tech'!$L$6:$V$182,MATCH($A104&amp;$J104,'IND tech'!$A$6:$A$182&amp;'IND tech'!$J$6:$J$182,0),MATCH(P$5,'IND tech'!$L$3:$V$3,0))+AL104</f>
        <v>2.8637468888888891</v>
      </c>
      <c r="Q104" s="91" cm="1">
        <f t="array" ref="Q104">INDEX('IND tech'!$L$6:$V$182,MATCH($A104&amp;$J104,'IND tech'!$A$6:$A$182&amp;'IND tech'!$J$6:$J$182,0),MATCH(Q$5,'IND tech'!$L$3:$V$3,0))</f>
        <v>3.1536000000000002E-2</v>
      </c>
      <c r="R104" s="91">
        <v>0.95</v>
      </c>
      <c r="S104" s="91" cm="1">
        <f t="array" ref="S104">INDEX('IND tech'!$L$6:$V$182,MATCH($A104&amp;$J104,'IND tech'!$A$6:$A$182&amp;'IND tech'!$J$6:$J$182,0),MATCH(S$5,'IND tech'!$L$3:$V$3,0))</f>
        <v>0</v>
      </c>
      <c r="W104" s="91">
        <v>3</v>
      </c>
      <c r="Y104" s="82">
        <f>-1*PMT($Y$3,M104,N104*1000000)/Q104*R104/1000000</f>
        <v>9.4380038431572881</v>
      </c>
      <c r="Z104" s="82">
        <f>O104*1000000/Q104*R104/1000000</f>
        <v>4.548916105937078</v>
      </c>
      <c r="AA104" s="91">
        <f>SUMIFS('DMS marginal prices'!$G$8:$G$70,'DMS marginal prices'!$F$8:$F$70,J104,'DMS marginal prices'!$D$8:$D$70,"INDNGA")/L104+SUMIFS('DMS marginal prices'!$G$8:$G$70,'DMS marginal prices'!$F$8:$F$70,J105,'DMS marginal prices'!$D$8:$D$70,G105)*U105</f>
        <v>71.600907009427516</v>
      </c>
      <c r="AC104" s="82">
        <f>SUM(Y104:AB107)*1000/(V107*0.9)</f>
        <v>1686.5419028018164</v>
      </c>
      <c r="AF104" s="82" cm="1">
        <f t="array" ref="AF104">INDEX('IND tech'!$L$6:$V$182,MATCH($A104&amp;$J104,'IND tech'!$A$6:$A$182&amp;'IND tech'!$J$6:$J$182,0),MATCH(AF$5,'IND tech'!$L$3:$V$3,0))</f>
        <v>1.01</v>
      </c>
      <c r="AG104" s="91">
        <f>-AH104/(1+AH104)</f>
        <v>-0.14463441107308525</v>
      </c>
      <c r="AH104" s="91">
        <f>'401.c Post comb - Cement kiln'!$B$11*IND_CCS!AT104</f>
        <v>0.16909075247524752</v>
      </c>
      <c r="AJ104" s="91">
        <f>'401.c Post comb - Cement kiln'!$B$28*7.45*AT104</f>
        <v>4.5368287128712881</v>
      </c>
      <c r="AK104" s="91">
        <f>'401.c Post comb - Cement kiln'!$B$34*IND_CCS!AT104*7.45</f>
        <v>0.13610486138613864</v>
      </c>
      <c r="AL104" s="91">
        <f>$AM$8*'401.c Post comb - Cement kiln'!$B$35*7.45</f>
        <v>0.58735800000000005</v>
      </c>
      <c r="AM104" s="91">
        <f>8760*3.6/1000000</f>
        <v>3.1536000000000002E-2</v>
      </c>
      <c r="AR104" s="91">
        <f>Emissions!$F$11/AF104</f>
        <v>56.386138613861391</v>
      </c>
      <c r="AS104" s="91">
        <f>IF(RIGHT(H104,2)="HT",$AZ$4/$AZ$5,0)</f>
        <v>0</v>
      </c>
      <c r="AT104" s="91">
        <f>$AM$8*(SUM($AR104:$AS104))*1000/8760</f>
        <v>0.202990099009901</v>
      </c>
    </row>
    <row r="105" spans="1:46" s="91" customFormat="1">
      <c r="A105" s="91" t="str">
        <f>A104</f>
        <v>INDGDRHGASN4</v>
      </c>
      <c r="G105" s="91" t="s">
        <v>310</v>
      </c>
      <c r="J105" s="91">
        <v>2020</v>
      </c>
      <c r="U105" s="91">
        <f>AI105</f>
        <v>5.0747524752475254E-3</v>
      </c>
      <c r="AI105" s="91">
        <f>'401.c Post comb - Cement kiln'!$B$12*IND_CCS!AT104</f>
        <v>5.0747524752475254E-3</v>
      </c>
    </row>
    <row r="106" spans="1:46" s="91" customFormat="1">
      <c r="A106" s="91" t="str">
        <f>A105</f>
        <v>INDGDRHGASN4</v>
      </c>
      <c r="C106" s="91" t="s">
        <v>785</v>
      </c>
      <c r="I106" s="91" t="str">
        <f>'IND tech'!$I$132</f>
        <v>INDGWH</v>
      </c>
      <c r="J106" s="91">
        <v>2020</v>
      </c>
      <c r="V106" s="91">
        <v>0</v>
      </c>
      <c r="Y106" s="82"/>
      <c r="Z106" s="82"/>
      <c r="AC106" s="82"/>
    </row>
    <row r="107" spans="1:46" s="91" customFormat="1">
      <c r="A107" s="91" t="str">
        <f>A106</f>
        <v>INDGDRHGASN4</v>
      </c>
      <c r="I107" s="91" t="s">
        <v>596</v>
      </c>
      <c r="J107" s="91">
        <v>2020</v>
      </c>
      <c r="V107" s="91">
        <f>SUM(AR104:AS104)</f>
        <v>56.386138613861391</v>
      </c>
    </row>
    <row r="108" spans="1:46" s="91" customFormat="1">
      <c r="A108" s="91" t="str">
        <f>IF(C108&gt;0,LEFT(C108,12),A107)</f>
        <v>INDGDRHGASN4</v>
      </c>
      <c r="F108" s="91" t="str">
        <f>F104</f>
        <v>INDNGA, INDBGA, INDSNG1, INDSNG2, INDLPG</v>
      </c>
      <c r="H108" s="91" t="str">
        <f>H104</f>
        <v>IGDRH</v>
      </c>
      <c r="J108" s="91">
        <v>2030</v>
      </c>
      <c r="L108" s="82">
        <f>AF108+AG108</f>
        <v>0.90464963064310355</v>
      </c>
      <c r="N108" s="383" cm="1">
        <f t="array" ref="N108">INDEX('IND tech'!$L$6:$V$182,MATCH($A108&amp;$J108,'IND tech'!$A$6:$A$182&amp;'IND tech'!$J$6:$J$182,0),MATCH(N$5,'IND tech'!$L$3:$V$3,0))+AJ108</f>
        <v>4.1535702912621364</v>
      </c>
      <c r="O108" s="383" cm="1">
        <f t="array" ref="O108">INDEX('IND tech'!$L$6:$V$182,MATCH($A108&amp;$J108,'IND tech'!$A$6:$A$182&amp;'IND tech'!$J$6:$J$182,0),MATCH(O$5,'IND tech'!$L$3:$V$3,0))+AK108</f>
        <v>0.12982210873786409</v>
      </c>
      <c r="P108" s="383" cm="1">
        <f t="array" ref="P108">INDEX('IND tech'!$L$6:$V$182,MATCH($A108&amp;$J108,'IND tech'!$A$6:$A$182&amp;'IND tech'!$J$6:$J$182,0),MATCH(P$5,'IND tech'!$L$3:$V$3,0))+AL108</f>
        <v>2.6568024444444447</v>
      </c>
      <c r="W108" s="91">
        <v>3</v>
      </c>
      <c r="Y108" s="82">
        <f>-1*PMT($Y$3,M104,N108*1000000)/Q104*R104/1000000</f>
        <v>8.0093949000962557</v>
      </c>
      <c r="Z108" s="82">
        <f>O108*1000000/Q104*R104/1000000</f>
        <v>3.9108004598227701</v>
      </c>
      <c r="AA108" s="91">
        <f>SUMIFS('DMS marginal prices'!$G$8:$G$70,'DMS marginal prices'!$F$8:$F$70,J108,'DMS marginal prices'!$D$8:$D$70,"INDNGA")/L108+SUMIFS('DMS marginal prices'!$G$8:$G$70,'DMS marginal prices'!$F$8:$F$70,J109,'DMS marginal prices'!$D$8:$D$70,G109)*U109</f>
        <v>98.534285055974664</v>
      </c>
      <c r="AC108" s="82">
        <f>SUM(Y108:AB111)*1000/(V111*0.9)</f>
        <v>2219.6491040556143</v>
      </c>
      <c r="AF108" s="82" cm="1">
        <f t="array" ref="AF108">INDEX('IND tech'!$L$6:$V$182,MATCH($A108&amp;$J108,'IND tech'!$A$6:$A$182&amp;'IND tech'!$J$6:$J$182,0),MATCH(AF$5,'IND tech'!$L$3:$V$3,0))</f>
        <v>1.03</v>
      </c>
      <c r="AG108" s="91">
        <f>-AH108/(1+AH108)</f>
        <v>-0.12535036935689645</v>
      </c>
      <c r="AH108" s="91">
        <f>'401.c Post comb - Cement kiln'!$D$11*IND_CCS!AT108</f>
        <v>0.14331495145631068</v>
      </c>
      <c r="AJ108" s="91">
        <f>'401.c Post comb - Cement kiln'!$D$28*7.45*AT108</f>
        <v>3.8555702912621364</v>
      </c>
      <c r="AK108" s="91">
        <f>'401.c Post comb - Cement kiln'!$D$34*IND_CCS!AT108*7.45</f>
        <v>0.11566710873786409</v>
      </c>
      <c r="AL108" s="91">
        <f>$AM$8*'401.c Post comb - Cement kiln'!$D$35*7.45</f>
        <v>0.58735800000000005</v>
      </c>
      <c r="AR108" s="91">
        <f>Emissions!$F$11/AF108</f>
        <v>55.291262135922331</v>
      </c>
      <c r="AS108" s="91">
        <f>IF(RIGHT(H108,2)="HT",$AZ$4/$AZ$5,0)</f>
        <v>0</v>
      </c>
      <c r="AT108" s="91">
        <f>$AM$8*(SUM($AR108:$AS108))*1000/8760</f>
        <v>0.1990485436893204</v>
      </c>
    </row>
    <row r="109" spans="1:46" s="91" customFormat="1">
      <c r="A109" s="91" t="str">
        <f>A108</f>
        <v>INDGDRHGASN4</v>
      </c>
      <c r="G109" s="91" t="s">
        <v>310</v>
      </c>
      <c r="J109" s="91">
        <v>2030</v>
      </c>
      <c r="U109" s="91">
        <f>AI109</f>
        <v>4.379067961165049E-3</v>
      </c>
      <c r="AI109" s="91">
        <f>'401.c Post comb - Cement kiln'!$D$12*IND_CCS!AT108</f>
        <v>4.379067961165049E-3</v>
      </c>
    </row>
    <row r="110" spans="1:46" s="91" customFormat="1">
      <c r="A110" s="91" t="str">
        <f>A109</f>
        <v>INDGDRHGASN4</v>
      </c>
      <c r="C110" s="91" t="s">
        <v>785</v>
      </c>
      <c r="I110" s="91" t="str">
        <f>'IND tech'!$I$132</f>
        <v>INDGWH</v>
      </c>
      <c r="J110" s="91">
        <v>2030</v>
      </c>
      <c r="V110" s="91">
        <v>0</v>
      </c>
      <c r="Y110" s="82"/>
      <c r="Z110" s="82"/>
      <c r="AC110" s="82"/>
    </row>
    <row r="111" spans="1:46" s="91" customFormat="1">
      <c r="A111" s="91" t="str">
        <f>A110</f>
        <v>INDGDRHGASN4</v>
      </c>
      <c r="I111" s="91" t="s">
        <v>596</v>
      </c>
      <c r="J111" s="91">
        <v>2030</v>
      </c>
      <c r="V111" s="91">
        <f>SUM(AR108:AS108)</f>
        <v>55.291262135922331</v>
      </c>
    </row>
    <row r="112" spans="1:46" s="91" customFormat="1">
      <c r="A112" s="91" t="str">
        <f>IF(C112&gt;0,LEFT(C112,12),A111)</f>
        <v>INDGDRHGASN4</v>
      </c>
      <c r="F112" s="91" t="str">
        <f>F108</f>
        <v>INDNGA, INDBGA, INDSNG1, INDSNG2, INDLPG</v>
      </c>
      <c r="H112" s="91" t="str">
        <f>H108</f>
        <v>IGDRH</v>
      </c>
      <c r="J112" s="91">
        <v>2050</v>
      </c>
      <c r="L112" s="82">
        <f>AF112+AG112</f>
        <v>0.91388254762753918</v>
      </c>
      <c r="N112" s="383" cm="1">
        <f t="array" ref="N112">INDEX('IND tech'!$L$6:$V$182,MATCH($A112&amp;$J112,'IND tech'!$A$6:$A$182&amp;'IND tech'!$J$6:$J$182,0),MATCH(N$5,'IND tech'!$L$3:$V$3,0))+AJ112</f>
        <v>2.9672409708737866</v>
      </c>
      <c r="O112" s="383" cm="1">
        <f t="array" ref="O112">INDEX('IND tech'!$L$6:$V$182,MATCH($A112&amp;$J112,'IND tech'!$A$6:$A$182&amp;'IND tech'!$J$6:$J$182,0),MATCH(O$5,'IND tech'!$L$3:$V$3,0))+AK112</f>
        <v>9.2742229126213604E-2</v>
      </c>
      <c r="P112" s="383" cm="1">
        <f t="array" ref="P112">INDEX('IND tech'!$L$6:$V$182,MATCH($A112&amp;$J112,'IND tech'!$A$6:$A$182&amp;'IND tech'!$J$6:$J$182,0),MATCH(P$5,'IND tech'!$L$3:$V$3,0))+AL112</f>
        <v>2.6568024444444447</v>
      </c>
      <c r="W112" s="91">
        <v>3</v>
      </c>
      <c r="Y112" s="82">
        <f>-1*PMT($Y$3,M104,N112*1000000)/Q104*R104/1000000</f>
        <v>5.7217774186870693</v>
      </c>
      <c r="Z112" s="82">
        <f>O112*1000000/Q104*R104/1000000</f>
        <v>2.7937949540177232</v>
      </c>
      <c r="AA112" s="91">
        <f>SUMIFS('DMS marginal prices'!$G$8:$G$70,'DMS marginal prices'!$F$8:$F$70,J112,'DMS marginal prices'!$D$8:$D$70,"INDNGA")/L112+SUMIFS('DMS marginal prices'!$G$8:$G$70,'DMS marginal prices'!$F$8:$F$70,J113,'DMS marginal prices'!$D$8:$D$70,G113)*U113</f>
        <v>138.82699694370862</v>
      </c>
      <c r="AC112" s="82">
        <f>SUM(Y112:AB115)*1000/(V115*0.9)</f>
        <v>2960.9373991982402</v>
      </c>
      <c r="AF112" s="82" cm="1">
        <f t="array" ref="AF112">INDEX('IND tech'!$L$6:$V$182,MATCH($A112&amp;$J112,'IND tech'!$A$6:$A$182&amp;'IND tech'!$J$6:$J$182,0),MATCH(AF$5,'IND tech'!$L$3:$V$3,0))</f>
        <v>1.03</v>
      </c>
      <c r="AG112" s="91">
        <f>-AH112/(1+AH112)</f>
        <v>-0.11611745237246091</v>
      </c>
      <c r="AH112" s="91">
        <f>'401.c Post comb - Cement kiln'!$F$11*IND_CCS!AT112</f>
        <v>0.13137203883495147</v>
      </c>
      <c r="AJ112" s="91">
        <f>'401.c Post comb - Cement kiln'!$F$28*7.45*AT112</f>
        <v>2.6692409708737865</v>
      </c>
      <c r="AK112" s="91">
        <f>'401.c Post comb - Cement kiln'!$F$34*IND_CCS!AT112*7.45</f>
        <v>8.0077229126213609E-2</v>
      </c>
      <c r="AL112" s="91">
        <f>$AM$8*'401.c Post comb - Cement kiln'!$F$35*7.45</f>
        <v>0.58735800000000005</v>
      </c>
      <c r="AR112" s="91">
        <f>Emissions!$F$11/AF112</f>
        <v>55.291262135922331</v>
      </c>
      <c r="AS112" s="91">
        <f>IF(RIGHT(H112,2)="HT",$AZ$4/$AZ$5,0)</f>
        <v>0</v>
      </c>
      <c r="AT112" s="91">
        <f>$AM$8*(SUM($AR112:$AS112))*1000/8760</f>
        <v>0.1990485436893204</v>
      </c>
    </row>
    <row r="113" spans="1:46" s="91" customFormat="1">
      <c r="A113" s="91" t="str">
        <f>A112</f>
        <v>INDGDRHGASN4</v>
      </c>
      <c r="G113" s="91" t="s">
        <v>310</v>
      </c>
      <c r="J113" s="91">
        <v>2050</v>
      </c>
      <c r="U113" s="91">
        <f>AI113</f>
        <v>3.5828737864077669E-3</v>
      </c>
      <c r="AI113" s="91">
        <f>'401.c Post comb - Cement kiln'!$F$12*IND_CCS!AT112</f>
        <v>3.5828737864077669E-3</v>
      </c>
    </row>
    <row r="114" spans="1:46" s="91" customFormat="1">
      <c r="A114" s="91" t="str">
        <f>A113</f>
        <v>INDGDRHGASN4</v>
      </c>
      <c r="C114" s="91" t="s">
        <v>785</v>
      </c>
      <c r="I114" s="91" t="str">
        <f>'IND tech'!$I$132</f>
        <v>INDGWH</v>
      </c>
      <c r="J114" s="91">
        <v>2050</v>
      </c>
      <c r="V114" s="91">
        <v>0</v>
      </c>
      <c r="Y114" s="82"/>
      <c r="Z114" s="82"/>
      <c r="AC114" s="82"/>
    </row>
    <row r="115" spans="1:46" s="91" customFormat="1">
      <c r="A115" s="91" t="str">
        <f>A114</f>
        <v>INDGDRHGASN4</v>
      </c>
      <c r="I115" s="91" t="s">
        <v>596</v>
      </c>
      <c r="J115" s="91">
        <v>2050</v>
      </c>
      <c r="V115" s="91">
        <f>SUM(AR112:AS112)</f>
        <v>55.291262135922331</v>
      </c>
    </row>
    <row r="116" spans="1:46" s="91" customFormat="1">
      <c r="A116" s="91" t="str">
        <f>IF(C116&gt;0,LEFT(C116,12),A115)</f>
        <v>INDGDHTGASN5</v>
      </c>
      <c r="C116" s="91" t="str">
        <f>'IND tech'!D159&amp;"CCS"</f>
        <v>INDGDHTGASN5CCS</v>
      </c>
      <c r="D116" s="91" t="str">
        <f>'IND tech'!E159&amp;"CCS"</f>
        <v>Industrial heating technology Glass &amp; Concrete HT - Gas boiler (Direct firing) - new 5CCS</v>
      </c>
      <c r="E116" s="91" t="s">
        <v>791</v>
      </c>
      <c r="F116" s="91" t="str">
        <f>'IND tech'!$G$132</f>
        <v>INDNGA, INDBGA, INDSNG1, INDSNG2, INDLPG</v>
      </c>
      <c r="H116" s="91" t="str">
        <f>"IGD"&amp;MID(C116,6,2)</f>
        <v>IGDHT</v>
      </c>
      <c r="J116" s="91">
        <v>2020</v>
      </c>
      <c r="K116" s="91">
        <v>2020</v>
      </c>
      <c r="L116" s="82">
        <f>AF116+AG116</f>
        <v>0.54163793872289412</v>
      </c>
      <c r="M116" s="91" cm="1">
        <f t="array" ref="M116">INDEX('IND tech'!$L$6:$V$182,MATCH($A116&amp;$J116,'IND tech'!$A$6:$A$182&amp;'IND tech'!$J$6:$J$182,0),MATCH(M$5,'IND tech'!$L$3:$V$3,0))</f>
        <v>15</v>
      </c>
      <c r="N116" s="383" cm="1">
        <f t="array" ref="N116">INDEX('IND tech'!$L$6:$V$182,MATCH($A116&amp;$J116,'IND tech'!$A$6:$A$182&amp;'IND tech'!$J$6:$J$182,0),MATCH(N$5,'IND tech'!$L$3:$V$3,0))+AJ116</f>
        <v>22.817304541384456</v>
      </c>
      <c r="O116" s="383" cm="1">
        <f t="array" ref="O116">INDEX('IND tech'!$L$6:$V$182,MATCH($A116&amp;$J116,'IND tech'!$A$6:$A$182&amp;'IND tech'!$J$6:$J$182,0),MATCH(O$5,'IND tech'!$L$3:$V$3,0))+AK116</f>
        <v>0.68252118169607912</v>
      </c>
      <c r="P116" s="383" cm="1">
        <f t="array" ref="P116">INDEX('IND tech'!$L$6:$V$182,MATCH($A116&amp;$J116,'IND tech'!$A$6:$A$182&amp;'IND tech'!$J$6:$J$182,0),MATCH(P$5,'IND tech'!$L$3:$V$3,0))+AL116</f>
        <v>1.1719760555555556</v>
      </c>
      <c r="Q116" s="91" cm="1">
        <f t="array" ref="Q116">INDEX('IND tech'!$L$6:$V$182,MATCH($A116&amp;$J116,'IND tech'!$A$6:$A$182&amp;'IND tech'!$J$6:$J$182,0),MATCH(Q$5,'IND tech'!$L$3:$V$3,0))</f>
        <v>3.1536000000000002E-2</v>
      </c>
      <c r="R116" s="91">
        <v>0.95</v>
      </c>
      <c r="S116" s="91" cm="1">
        <f t="array" ref="S116">INDEX('IND tech'!$L$6:$V$182,MATCH($A116&amp;$J116,'IND tech'!$A$6:$A$182&amp;'IND tech'!$J$6:$J$182,0),MATCH(S$5,'IND tech'!$L$3:$V$3,0))</f>
        <v>1</v>
      </c>
      <c r="W116" s="91">
        <v>3</v>
      </c>
      <c r="Y116" s="82">
        <f>-1*PMT($Y$3,M116,N116*1000000)/Q116*R116/1000000</f>
        <v>61.821499367520779</v>
      </c>
      <c r="Z116" s="82">
        <f>O116*1000000/Q116*R116/1000000</f>
        <v>20.560474461291069</v>
      </c>
      <c r="AA116" s="91">
        <f>SUMIFS('DMS marginal prices'!$G$8:$G$70,'DMS marginal prices'!$F$8:$F$70,J116,'DMS marginal prices'!$D$8:$D$70,"INDNGA")/L116+SUMIFS('DMS marginal prices'!$G$8:$G$70,'DMS marginal prices'!$F$8:$F$70,J117,'DMS marginal prices'!$D$8:$D$70,G117)*U117</f>
        <v>116.98457508853242</v>
      </c>
      <c r="AC116" s="82">
        <f>SUM(Y116:AB119)*1000/(V119*0.9)</f>
        <v>784.97838230397213</v>
      </c>
      <c r="AF116" s="82" cm="1">
        <f t="array" ref="AF116">INDEX('IND tech'!$L$6:$V$182,MATCH($A116&amp;$J116,'IND tech'!$A$6:$A$182&amp;'IND tech'!$J$6:$J$182,0),MATCH(AF$5,'IND tech'!$L$3:$V$3,0))</f>
        <v>1</v>
      </c>
      <c r="AG116" s="91">
        <f>-AH116/(1+AH116)</f>
        <v>-0.45836206127710588</v>
      </c>
      <c r="AH116" s="91">
        <f>'401.c Post comb - Cement kiln'!$B$11*IND_CCS!AT116</f>
        <v>0.84625176433884786</v>
      </c>
      <c r="AJ116" s="91">
        <f>'401.c Post comb - Cement kiln'!$B$28*7.45*AT116</f>
        <v>22.705554541384455</v>
      </c>
      <c r="AK116" s="91">
        <f>'401.c Post comb - Cement kiln'!$B$34*IND_CCS!AT116*7.45</f>
        <v>0.68116663624153362</v>
      </c>
      <c r="AL116" s="91">
        <f>$AM$8*'401.c Post comb - Cement kiln'!$B$35*7.45</f>
        <v>0.58735800000000005</v>
      </c>
      <c r="AM116" s="91">
        <f>8760*3.6/1000000</f>
        <v>3.1536000000000002E-2</v>
      </c>
      <c r="AR116" s="91">
        <f>Emissions!$F$11/AF116</f>
        <v>56.95</v>
      </c>
      <c r="AS116" s="91">
        <f>IF(RIGHT(H116,2)="HT",$AZ$4/$AZ$5,0)*0.9</f>
        <v>225.2468001663492</v>
      </c>
      <c r="AT116" s="91">
        <f>$AM$8*(SUM($AR116:$AS116))*1000/8760</f>
        <v>1.015908480598857</v>
      </c>
    </row>
    <row r="117" spans="1:46" s="91" customFormat="1">
      <c r="A117" s="91" t="str">
        <f>A116</f>
        <v>INDGDHTGASN5</v>
      </c>
      <c r="G117" s="91" t="s">
        <v>310</v>
      </c>
      <c r="J117" s="91">
        <v>2020</v>
      </c>
      <c r="U117" s="91">
        <f>AI117</f>
        <v>2.5397712014971426E-2</v>
      </c>
      <c r="AI117" s="91">
        <f>'401.c Post comb - Cement kiln'!$B$12*IND_CCS!AT116</f>
        <v>2.5397712014971426E-2</v>
      </c>
    </row>
    <row r="118" spans="1:46" s="91" customFormat="1">
      <c r="A118" s="91" t="str">
        <f>A117</f>
        <v>INDGDHTGASN5</v>
      </c>
      <c r="C118" s="91" t="s">
        <v>785</v>
      </c>
      <c r="I118" s="91" t="str">
        <f>'IND tech'!$I$132</f>
        <v>INDGWH</v>
      </c>
      <c r="J118" s="91">
        <v>2020</v>
      </c>
      <c r="V118" s="91" cm="1">
        <f t="array" ref="V118">INDEX('IND tech'!$L$6:$V$182,MATCH($A116&amp;$J116,'IND tech'!$A$6:$A$182&amp;'IND tech'!$J$6:$J$182,0),MATCH(V$5,'IND tech'!$L$3:$V$3,0))</f>
        <v>0.3</v>
      </c>
      <c r="Y118" s="82"/>
      <c r="Z118" s="82"/>
      <c r="AC118" s="82"/>
    </row>
    <row r="119" spans="1:46" s="91" customFormat="1">
      <c r="A119" s="91" t="str">
        <f>A118</f>
        <v>INDGDHTGASN5</v>
      </c>
      <c r="I119" s="91" t="s">
        <v>596</v>
      </c>
      <c r="J119" s="91">
        <v>2020</v>
      </c>
      <c r="V119" s="91">
        <f>SUM(AR116:AS116)</f>
        <v>282.19680016634919</v>
      </c>
    </row>
    <row r="120" spans="1:46" s="91" customFormat="1">
      <c r="A120" s="91" t="str">
        <f>IF(C120&gt;0,LEFT(C120,12),A119)</f>
        <v>INDGDHTGASN5</v>
      </c>
      <c r="F120" s="91" t="str">
        <f>F116</f>
        <v>INDNGA, INDBGA, INDSNG1, INDSNG2, INDLPG</v>
      </c>
      <c r="H120" s="91" t="str">
        <f>H116</f>
        <v>IGDHT</v>
      </c>
      <c r="J120" s="91">
        <v>2030</v>
      </c>
      <c r="L120" s="82">
        <f>AF120+AG120</f>
        <v>0.57754923824818594</v>
      </c>
      <c r="N120" s="383" cm="1">
        <f t="array" ref="N120">INDEX('IND tech'!$L$6:$V$182,MATCH($A120&amp;$J120,'IND tech'!$A$6:$A$182&amp;'IND tech'!$J$6:$J$182,0),MATCH(N$5,'IND tech'!$L$3:$V$3,0))+AJ120</f>
        <v>19.789897269199862</v>
      </c>
      <c r="O120" s="383" cm="1">
        <f t="array" ref="O120">INDEX('IND tech'!$L$6:$V$182,MATCH($A120&amp;$J120,'IND tech'!$A$6:$A$182&amp;'IND tech'!$J$6:$J$182,0),MATCH(O$5,'IND tech'!$L$3:$V$3,0))+AK120</f>
        <v>0.59166509989417759</v>
      </c>
      <c r="P120" s="383" cm="1">
        <f t="array" ref="P120">INDEX('IND tech'!$L$6:$V$182,MATCH($A120&amp;$J120,'IND tech'!$A$6:$A$182&amp;'IND tech'!$J$6:$J$182,0),MATCH(P$5,'IND tech'!$L$3:$V$3,0))+AL120</f>
        <v>1.1616288333333333</v>
      </c>
      <c r="W120" s="91">
        <v>3</v>
      </c>
      <c r="Y120" s="82">
        <f>-1*PMT($Y$3,M116,N120*1000000)/Q116*R116/1000000</f>
        <v>53.619003037459898</v>
      </c>
      <c r="Z120" s="82">
        <f>O120*1000000/Q116*R116/1000000</f>
        <v>17.823498379612783</v>
      </c>
      <c r="AA120" s="91">
        <f>SUMIFS('DMS marginal prices'!$G$8:$G$70,'DMS marginal prices'!$F$8:$F$70,J120,'DMS marginal prices'!$D$8:$D$70,"INDNGA")/L120+SUMIFS('DMS marginal prices'!$G$8:$G$70,'DMS marginal prices'!$F$8:$F$70,J121,'DMS marginal prices'!$D$8:$D$70,G121)*U121</f>
        <v>156.85112230983395</v>
      </c>
      <c r="AC120" s="82">
        <f>SUM(Y120:AB123)*1000/(V123*0.9)</f>
        <v>898.8747631768257</v>
      </c>
      <c r="AF120" s="82" cm="1">
        <f t="array" ref="AF120">INDEX('IND tech'!$L$6:$V$182,MATCH($A120&amp;$J120,'IND tech'!$A$6:$A$182&amp;'IND tech'!$J$6:$J$182,0),MATCH(AF$5,'IND tech'!$L$3:$V$3,0))</f>
        <v>1</v>
      </c>
      <c r="AG120" s="91">
        <f>-AH120/(1+AH120)</f>
        <v>-0.42245076175181406</v>
      </c>
      <c r="AH120" s="91">
        <f>'401.c Post comb - Cement kiln'!$D$11*IND_CCS!AT120</f>
        <v>0.731454106031177</v>
      </c>
      <c r="AJ120" s="91">
        <f>'401.c Post comb - Cement kiln'!$D$28*7.45*AT120</f>
        <v>19.678147269199862</v>
      </c>
      <c r="AK120" s="91">
        <f>'401.c Post comb - Cement kiln'!$D$34*IND_CCS!AT120*7.45</f>
        <v>0.5903444180759958</v>
      </c>
      <c r="AL120" s="91">
        <f>$AM$8*'401.c Post comb - Cement kiln'!$D$35*7.45</f>
        <v>0.58735800000000005</v>
      </c>
      <c r="AR120" s="91">
        <f>Emissions!$F$11/AF120</f>
        <v>56.95</v>
      </c>
      <c r="AS120" s="91">
        <f>IF(RIGHT(H120,2)="HT",$AZ$4/$AZ$5,0)*0.9</f>
        <v>225.2468001663492</v>
      </c>
      <c r="AT120" s="91">
        <f>$AM$8*(SUM($AR120:$AS120))*1000/8760</f>
        <v>1.015908480598857</v>
      </c>
    </row>
    <row r="121" spans="1:46" s="91" customFormat="1">
      <c r="A121" s="91" t="str">
        <f>A120</f>
        <v>INDGDHTGASN5</v>
      </c>
      <c r="G121" s="91" t="s">
        <v>310</v>
      </c>
      <c r="J121" s="91">
        <v>2030</v>
      </c>
      <c r="U121" s="91">
        <f>AI121</f>
        <v>2.2349986573174854E-2</v>
      </c>
      <c r="AI121" s="91">
        <f>'401.c Post comb - Cement kiln'!$D$12*IND_CCS!AT120</f>
        <v>2.2349986573174854E-2</v>
      </c>
    </row>
    <row r="122" spans="1:46" s="91" customFormat="1">
      <c r="A122" s="91" t="str">
        <f>A121</f>
        <v>INDGDHTGASN5</v>
      </c>
      <c r="C122" s="91" t="s">
        <v>785</v>
      </c>
      <c r="I122" s="91" t="str">
        <f>'IND tech'!$I$132</f>
        <v>INDGWH</v>
      </c>
      <c r="J122" s="91">
        <v>2030</v>
      </c>
      <c r="V122" s="91" cm="1">
        <f t="array" ref="V122">INDEX('IND tech'!$L$6:$V$182,MATCH($A120&amp;$J120,'IND tech'!$A$6:$A$182&amp;'IND tech'!$J$6:$J$182,0),MATCH(V$5,'IND tech'!$L$3:$V$3,0))</f>
        <v>0.3</v>
      </c>
      <c r="Y122" s="82"/>
      <c r="Z122" s="82"/>
      <c r="AC122" s="82"/>
    </row>
    <row r="123" spans="1:46" s="91" customFormat="1">
      <c r="A123" s="91" t="str">
        <f>A122</f>
        <v>INDGDHTGASN5</v>
      </c>
      <c r="I123" s="91" t="s">
        <v>596</v>
      </c>
      <c r="J123" s="91">
        <v>2030</v>
      </c>
      <c r="V123" s="91">
        <f>SUM(AR120:AS120)</f>
        <v>282.19680016634919</v>
      </c>
    </row>
    <row r="124" spans="1:46" s="91" customFormat="1">
      <c r="A124" s="91" t="str">
        <f>IF(C124&gt;0,LEFT(C124,12),A123)</f>
        <v>INDGDHTGASN5</v>
      </c>
      <c r="F124" s="91" t="str">
        <f>F120</f>
        <v>INDNGA, INDBGA, INDSNG1, INDSNG2, INDLPG</v>
      </c>
      <c r="H124" s="91" t="str">
        <f>H120</f>
        <v>IGDHT</v>
      </c>
      <c r="J124" s="91">
        <v>2050</v>
      </c>
      <c r="L124" s="82">
        <f>AF124+AG124</f>
        <v>0.59862331106154787</v>
      </c>
      <c r="N124" s="383" cm="1">
        <f t="array" ref="N124">INDEX('IND tech'!$L$6:$V$182,MATCH($A124&amp;$J124,'IND tech'!$A$6:$A$182&amp;'IND tech'!$J$6:$J$182,0),MATCH(N$5,'IND tech'!$L$3:$V$3,0))+AJ124</f>
        <v>13.735082724830672</v>
      </c>
      <c r="O124" s="383" cm="1">
        <f t="array" ref="O124">INDEX('IND tech'!$L$6:$V$182,MATCH($A124&amp;$J124,'IND tech'!$A$6:$A$182&amp;'IND tech'!$J$6:$J$182,0),MATCH(O$5,'IND tech'!$L$3:$V$3,0))+AK124</f>
        <v>0.40985134538128382</v>
      </c>
      <c r="P124" s="383" cm="1">
        <f t="array" ref="P124">INDEX('IND tech'!$L$6:$V$182,MATCH($A124&amp;$J124,'IND tech'!$A$6:$A$182&amp;'IND tech'!$J$6:$J$182,0),MATCH(P$5,'IND tech'!$L$3:$V$3,0))+AL124</f>
        <v>1.1668024444444445</v>
      </c>
      <c r="W124" s="91">
        <v>3</v>
      </c>
      <c r="Y124" s="82">
        <f>-1*PMT($Y$3,M116,N124*1000000)/Q116*R116/1000000</f>
        <v>37.214010377338106</v>
      </c>
      <c r="Z124" s="82">
        <f>O124*1000000/Q116*R116/1000000</f>
        <v>12.346485860991235</v>
      </c>
      <c r="AA124" s="91">
        <f>SUMIFS('DMS marginal prices'!$G$8:$G$70,'DMS marginal prices'!$F$8:$F$70,J124,'DMS marginal prices'!$D$8:$D$70,"INDNGA")/L124+SUMIFS('DMS marginal prices'!$G$8:$G$70,'DMS marginal prices'!$F$8:$F$70,J125,'DMS marginal prices'!$D$8:$D$70,G125)*U125</f>
        <v>213.59988528962239</v>
      </c>
      <c r="AC124" s="82">
        <f>SUM(Y124:AB127)*1000/(V127*0.9)</f>
        <v>1036.1578293856712</v>
      </c>
      <c r="AF124" s="82" cm="1">
        <f t="array" ref="AF124">INDEX('IND tech'!$L$6:$V$182,MATCH($A124&amp;$J124,'IND tech'!$A$6:$A$182&amp;'IND tech'!$J$6:$J$182,0),MATCH(AF$5,'IND tech'!$L$3:$V$3,0))</f>
        <v>1</v>
      </c>
      <c r="AG124" s="91">
        <f>-AH124/(1+AH124)</f>
        <v>-0.40137668893845213</v>
      </c>
      <c r="AH124" s="91">
        <f>'401.c Post comb - Cement kiln'!$F$11*IND_CCS!AT124</f>
        <v>0.67049959719524566</v>
      </c>
      <c r="AJ124" s="91">
        <f>'401.c Post comb - Cement kiln'!$F$28*7.45*AT124</f>
        <v>13.623332724830671</v>
      </c>
      <c r="AK124" s="91">
        <f>'401.c Post comb - Cement kiln'!$F$34*IND_CCS!AT124*7.45</f>
        <v>0.40869998174492017</v>
      </c>
      <c r="AL124" s="91">
        <f>$AM$8*'401.c Post comb - Cement kiln'!$F$35*7.45</f>
        <v>0.58735800000000005</v>
      </c>
      <c r="AR124" s="91">
        <f>Emissions!$F$11/AF124</f>
        <v>56.95</v>
      </c>
      <c r="AS124" s="91">
        <f>IF(RIGHT(H124,2)="HT",$AZ$4/$AZ$5,0)*0.9</f>
        <v>225.2468001663492</v>
      </c>
      <c r="AT124" s="91">
        <f>$AM$8*(SUM($AR124:$AS124))*1000/8760</f>
        <v>1.015908480598857</v>
      </c>
    </row>
    <row r="125" spans="1:46" s="91" customFormat="1">
      <c r="A125" s="91" t="str">
        <f>A124</f>
        <v>INDGDHTGASN5</v>
      </c>
      <c r="G125" s="91" t="s">
        <v>310</v>
      </c>
      <c r="J125" s="91">
        <v>2050</v>
      </c>
      <c r="U125" s="91">
        <f>AI125</f>
        <v>1.8286352650779426E-2</v>
      </c>
      <c r="AI125" s="91">
        <f>'401.c Post comb - Cement kiln'!$F$12*IND_CCS!AT124</f>
        <v>1.8286352650779426E-2</v>
      </c>
    </row>
    <row r="126" spans="1:46" s="91" customFormat="1">
      <c r="A126" s="91" t="str">
        <f>A125</f>
        <v>INDGDHTGASN5</v>
      </c>
      <c r="C126" s="91" t="s">
        <v>785</v>
      </c>
      <c r="I126" s="91" t="str">
        <f>'IND tech'!$I$132</f>
        <v>INDGWH</v>
      </c>
      <c r="J126" s="91">
        <v>2050</v>
      </c>
      <c r="V126" s="91" cm="1">
        <f t="array" ref="V126">INDEX('IND tech'!$L$6:$V$182,MATCH($A124&amp;$J124,'IND tech'!$A$6:$A$182&amp;'IND tech'!$J$6:$J$182,0),MATCH(V$5,'IND tech'!$L$3:$V$3,0))</f>
        <v>0.3</v>
      </c>
      <c r="Y126" s="82"/>
      <c r="Z126" s="82"/>
      <c r="AC126" s="82"/>
    </row>
    <row r="127" spans="1:46" s="91" customFormat="1">
      <c r="A127" s="91" t="str">
        <f>A126</f>
        <v>INDGDHTGASN5</v>
      </c>
      <c r="I127" s="91" t="s">
        <v>596</v>
      </c>
      <c r="J127" s="91">
        <v>2050</v>
      </c>
      <c r="V127" s="91">
        <f>SUM(AR124:AS124)</f>
        <v>282.19680016634919</v>
      </c>
    </row>
    <row r="128" spans="1:46" s="91" customFormat="1">
      <c r="A128" s="91" t="str">
        <f>IF(C128&gt;0,LEFT(C128,12),A127)</f>
        <v>INDGDMTGASN5</v>
      </c>
      <c r="C128" s="91" t="str">
        <f>'IND tech'!D162&amp;"CCS"</f>
        <v>INDGDMTGASN5CCS</v>
      </c>
      <c r="D128" s="91" t="str">
        <f>'IND tech'!E162&amp;"CCS"</f>
        <v>Industrial heating technology Glass &amp; Concrete MT - Gas boiler (Direct firing) - new 5CCS</v>
      </c>
      <c r="E128" s="91" t="s">
        <v>791</v>
      </c>
      <c r="F128" s="91" t="str">
        <f>'IND tech'!$G$132</f>
        <v>INDNGA, INDBGA, INDSNG1, INDSNG2, INDLPG</v>
      </c>
      <c r="H128" s="91" t="str">
        <f>"IGD"&amp;MID(C128,6,2)</f>
        <v>IGDMT</v>
      </c>
      <c r="J128" s="91">
        <v>2020</v>
      </c>
      <c r="K128" s="91">
        <v>2020</v>
      </c>
      <c r="L128" s="82">
        <f>AF128+AG128</f>
        <v>0.85413022270950156</v>
      </c>
      <c r="M128" s="91" cm="1">
        <f t="array" ref="M128">INDEX('IND tech'!$L$6:$V$182,MATCH($A128&amp;$J128,'IND tech'!$A$6:$A$182&amp;'IND tech'!$J$6:$J$182,0),MATCH(M$5,'IND tech'!$L$3:$V$3,0))</f>
        <v>25</v>
      </c>
      <c r="N128" s="383" cm="1">
        <f t="array" ref="N128">INDEX('IND tech'!$L$6:$V$182,MATCH($A128&amp;$J128,'IND tech'!$A$6:$A$182&amp;'IND tech'!$J$6:$J$182,0),MATCH(N$5,'IND tech'!$L$3:$V$3,0))+AJ128</f>
        <v>4.6939470000000005</v>
      </c>
      <c r="O128" s="383" cm="1">
        <f t="array" ref="O128">INDEX('IND tech'!$L$6:$V$182,MATCH($A128&amp;$J128,'IND tech'!$A$6:$A$182&amp;'IND tech'!$J$6:$J$182,0),MATCH(O$5,'IND tech'!$L$3:$V$3,0))+AK128</f>
        <v>0.13882045545454547</v>
      </c>
      <c r="P128" s="383" cm="1">
        <f t="array" ref="P128">INDEX('IND tech'!$L$6:$V$182,MATCH($A128&amp;$J128,'IND tech'!$A$6:$A$182&amp;'IND tech'!$J$6:$J$182,0),MATCH(P$5,'IND tech'!$L$3:$V$3,0))+AL128</f>
        <v>1.1719760555555556</v>
      </c>
      <c r="Q128" s="91" cm="1">
        <f t="array" ref="Q128">INDEX('IND tech'!$L$6:$V$182,MATCH($A128&amp;$J128,'IND tech'!$A$6:$A$182&amp;'IND tech'!$J$6:$J$182,0),MATCH(Q$5,'IND tech'!$L$3:$V$3,0))</f>
        <v>3.1536000000000002E-2</v>
      </c>
      <c r="R128" s="91">
        <v>0.95</v>
      </c>
      <c r="S128" s="91" cm="1">
        <f t="array" ref="S128">INDEX('IND tech'!$L$6:$V$182,MATCH($A128&amp;$J128,'IND tech'!$A$6:$A$182&amp;'IND tech'!$J$6:$J$182,0),MATCH(S$5,'IND tech'!$L$3:$V$3,0))</f>
        <v>1</v>
      </c>
      <c r="W128" s="91">
        <v>3</v>
      </c>
      <c r="Y128" s="82">
        <f>-1*PMT($Y$3,M128,N128*1000000)/Q128*R128/1000000</f>
        <v>9.0514118040116305</v>
      </c>
      <c r="Z128" s="82">
        <f>O128*1000000/Q128*R128/1000000</f>
        <v>4.1818693772773399</v>
      </c>
      <c r="AA128" s="91">
        <f>SUMIFS('DMS marginal prices'!$G$8:$G$70,'DMS marginal prices'!$F$8:$F$70,J128,'DMS marginal prices'!$D$8:$D$70,"INDNGA")/L128+SUMIFS('DMS marginal prices'!$G$8:$G$70,'DMS marginal prices'!$F$8:$F$70,J129,'DMS marginal prices'!$D$8:$D$70,G129)*U129</f>
        <v>72.540359968807422</v>
      </c>
      <c r="AC128" s="82">
        <f>SUM(Y128:AB131)*1000/(V131*0.9)</f>
        <v>1673.4687571963009</v>
      </c>
      <c r="AF128" s="82" cm="1">
        <f t="array" ref="AF128">INDEX('IND tech'!$L$6:$V$182,MATCH($A128&amp;$J128,'IND tech'!$A$6:$A$182&amp;'IND tech'!$J$6:$J$182,0),MATCH(AF$5,'IND tech'!$L$3:$V$3,0))</f>
        <v>1</v>
      </c>
      <c r="AG128" s="91">
        <f>-AH128/(1+AH128)</f>
        <v>-0.14586977729049841</v>
      </c>
      <c r="AH128" s="91">
        <f>'401.c Post comb - Cement kiln'!$B$11*IND_CCS!AT128</f>
        <v>0.17078166000000003</v>
      </c>
      <c r="AJ128" s="91">
        <f>'401.c Post comb - Cement kiln'!$B$28*7.45*AT128</f>
        <v>4.5821970000000007</v>
      </c>
      <c r="AK128" s="91">
        <f>'401.c Post comb - Cement kiln'!$B$34*IND_CCS!AT128*7.45</f>
        <v>0.13746591</v>
      </c>
      <c r="AL128" s="91">
        <f>$AM$8*'401.c Post comb - Cement kiln'!$B$35*7.45</f>
        <v>0.58735800000000005</v>
      </c>
      <c r="AM128" s="91">
        <f>8760*3.6/1000000</f>
        <v>3.1536000000000002E-2</v>
      </c>
      <c r="AR128" s="91">
        <f>Emissions!$F$11/AF128</f>
        <v>56.95</v>
      </c>
      <c r="AS128" s="91">
        <f>IF(RIGHT(H128,2)="HT",$AZ$4/$AZ$5,0)</f>
        <v>0</v>
      </c>
      <c r="AT128" s="91">
        <f>$AM$8*(SUM($AR128:$AS128))*1000/8760</f>
        <v>0.20502000000000004</v>
      </c>
    </row>
    <row r="129" spans="1:46" s="91" customFormat="1">
      <c r="A129" s="91" t="str">
        <f>A128</f>
        <v>INDGDMTGASN5</v>
      </c>
      <c r="G129" s="91" t="s">
        <v>310</v>
      </c>
      <c r="J129" s="91">
        <v>2020</v>
      </c>
      <c r="U129" s="91">
        <f>AI129</f>
        <v>5.1255000000000016E-3</v>
      </c>
      <c r="AI129" s="91">
        <f>'401.c Post comb - Cement kiln'!$B$12*IND_CCS!AT128</f>
        <v>5.1255000000000016E-3</v>
      </c>
    </row>
    <row r="130" spans="1:46" s="91" customFormat="1">
      <c r="A130" s="91" t="str">
        <f>A129</f>
        <v>INDGDMTGASN5</v>
      </c>
      <c r="C130" s="91" t="s">
        <v>785</v>
      </c>
      <c r="I130" s="91" t="str">
        <f>'IND tech'!$I$132</f>
        <v>INDGWH</v>
      </c>
      <c r="J130" s="91">
        <v>2020</v>
      </c>
      <c r="V130" s="91" cm="1">
        <f t="array" ref="V130">INDEX('IND tech'!$L$6:$V$182,MATCH($A128&amp;$J128,'IND tech'!$A$6:$A$182&amp;'IND tech'!$J$6:$J$182,0),MATCH(V$5,'IND tech'!$L$3:$V$3,0))</f>
        <v>0.2</v>
      </c>
      <c r="Y130" s="82"/>
      <c r="Z130" s="82"/>
      <c r="AC130" s="82"/>
    </row>
    <row r="131" spans="1:46" s="91" customFormat="1">
      <c r="A131" s="91" t="str">
        <f>A130</f>
        <v>INDGDMTGASN5</v>
      </c>
      <c r="I131" s="91" t="s">
        <v>596</v>
      </c>
      <c r="J131" s="91">
        <v>2020</v>
      </c>
      <c r="V131" s="91">
        <f>SUM(AR128:AS128)</f>
        <v>56.95</v>
      </c>
    </row>
    <row r="132" spans="1:46" s="91" customFormat="1">
      <c r="A132" s="91" t="str">
        <f>IF(C132&gt;0,LEFT(C132,12),A131)</f>
        <v>INDGDMTGASN5</v>
      </c>
      <c r="F132" s="91" t="str">
        <f>F128</f>
        <v>INDNGA, INDBGA, INDSNG1, INDSNG2, INDLPG</v>
      </c>
      <c r="H132" s="91" t="str">
        <f>H128</f>
        <v>IGDMT</v>
      </c>
      <c r="J132" s="91">
        <v>2030</v>
      </c>
      <c r="L132" s="82">
        <f>AF132+AG132</f>
        <v>0.87137282348496148</v>
      </c>
      <c r="N132" s="383" cm="1">
        <f t="array" ref="N132">INDEX('IND tech'!$L$6:$V$182,MATCH($A132&amp;$J132,'IND tech'!$A$6:$A$182&amp;'IND tech'!$J$6:$J$182,0),MATCH(N$5,'IND tech'!$L$3:$V$3,0))+AJ132</f>
        <v>4.0829874000000013</v>
      </c>
      <c r="O132" s="383" cm="1">
        <f t="array" ref="O132">INDEX('IND tech'!$L$6:$V$182,MATCH($A132&amp;$J132,'IND tech'!$A$6:$A$182&amp;'IND tech'!$J$6:$J$182,0),MATCH(O$5,'IND tech'!$L$3:$V$3,0))+AK132</f>
        <v>0.12045780381818183</v>
      </c>
      <c r="P132" s="383" cm="1">
        <f t="array" ref="P132">INDEX('IND tech'!$L$6:$V$182,MATCH($A132&amp;$J132,'IND tech'!$A$6:$A$182&amp;'IND tech'!$J$6:$J$182,0),MATCH(P$5,'IND tech'!$L$3:$V$3,0))+AL132</f>
        <v>1.1616288333333333</v>
      </c>
      <c r="W132" s="91">
        <v>3</v>
      </c>
      <c r="Y132" s="82">
        <f>-1*PMT($Y$3,M128,N132*1000000)/Q128*R128/1000000</f>
        <v>7.8732888010859003</v>
      </c>
      <c r="Z132" s="82">
        <f>O132*1000000/Q128*R128/1000000</f>
        <v>3.6287073068008855</v>
      </c>
      <c r="AA132" s="91">
        <f>SUMIFS('DMS marginal prices'!$G$8:$G$70,'DMS marginal prices'!$F$8:$F$70,J132,'DMS marginal prices'!$D$8:$D$70,"INDNGA")/L132+SUMIFS('DMS marginal prices'!$G$8:$G$70,'DMS marginal prices'!$F$8:$F$70,J133,'DMS marginal prices'!$D$8:$D$70,G133)*U133</f>
        <v>102.29139243448407</v>
      </c>
      <c r="AC132" s="82">
        <f>SUM(Y132:AB135)*1000/(V135*0.9)</f>
        <v>2220.1422015875687</v>
      </c>
      <c r="AF132" s="82" cm="1">
        <f t="array" ref="AF132">INDEX('IND tech'!$L$6:$V$182,MATCH($A132&amp;$J132,'IND tech'!$A$6:$A$182&amp;'IND tech'!$J$6:$J$182,0),MATCH(AF$5,'IND tech'!$L$3:$V$3,0))</f>
        <v>1</v>
      </c>
      <c r="AG132" s="91">
        <f>-AH132/(1+AH132)</f>
        <v>-0.12862717651503852</v>
      </c>
      <c r="AH132" s="91">
        <f>'401.c Post comb - Cement kiln'!$D$11*IND_CCS!AT132</f>
        <v>0.14761440000000001</v>
      </c>
      <c r="AJ132" s="91">
        <f>'401.c Post comb - Cement kiln'!$D$28*7.45*AT132</f>
        <v>3.971237400000001</v>
      </c>
      <c r="AK132" s="91">
        <f>'401.c Post comb - Cement kiln'!$D$34*IND_CCS!AT132*7.45</f>
        <v>0.11913712200000001</v>
      </c>
      <c r="AL132" s="91">
        <f>$AM$8*'401.c Post comb - Cement kiln'!$D$35*7.45</f>
        <v>0.58735800000000005</v>
      </c>
      <c r="AR132" s="91">
        <f>Emissions!$F$11/AF132</f>
        <v>56.95</v>
      </c>
      <c r="AS132" s="91">
        <f>IF(RIGHT(H132,2)="HT",$AZ$4/$AZ$5,0)</f>
        <v>0</v>
      </c>
      <c r="AT132" s="91">
        <f>$AM$8*(SUM($AR132:$AS132))*1000/8760</f>
        <v>0.20502000000000004</v>
      </c>
    </row>
    <row r="133" spans="1:46" s="91" customFormat="1">
      <c r="A133" s="91" t="str">
        <f>A132</f>
        <v>INDGDMTGASN5</v>
      </c>
      <c r="G133" s="91" t="s">
        <v>310</v>
      </c>
      <c r="J133" s="91">
        <v>2030</v>
      </c>
      <c r="U133" s="91">
        <f>AI133</f>
        <v>4.5104400000000001E-3</v>
      </c>
      <c r="AI133" s="91">
        <f>'401.c Post comb - Cement kiln'!$D$12*IND_CCS!AT132</f>
        <v>4.5104400000000001E-3</v>
      </c>
    </row>
    <row r="134" spans="1:46" s="91" customFormat="1">
      <c r="A134" s="91" t="str">
        <f>A133</f>
        <v>INDGDMTGASN5</v>
      </c>
      <c r="C134" s="91" t="s">
        <v>785</v>
      </c>
      <c r="I134" s="91" t="str">
        <f>'IND tech'!$I$132</f>
        <v>INDGWH</v>
      </c>
      <c r="J134" s="91">
        <v>2030</v>
      </c>
      <c r="V134" s="91" cm="1">
        <f t="array" ref="V134">INDEX('IND tech'!$L$6:$V$182,MATCH($A132&amp;$J132,'IND tech'!$A$6:$A$182&amp;'IND tech'!$J$6:$J$182,0),MATCH(V$5,'IND tech'!$L$3:$V$3,0))</f>
        <v>0.2</v>
      </c>
      <c r="Y134" s="82"/>
      <c r="Z134" s="82"/>
      <c r="AC134" s="82"/>
    </row>
    <row r="135" spans="1:46" s="91" customFormat="1">
      <c r="A135" s="91" t="str">
        <f>A134</f>
        <v>INDGDMTGASN5</v>
      </c>
      <c r="I135" s="91" t="s">
        <v>596</v>
      </c>
      <c r="J135" s="91">
        <v>2030</v>
      </c>
      <c r="V135" s="91">
        <f>SUM(AR132:AS132)</f>
        <v>56.95</v>
      </c>
    </row>
    <row r="136" spans="1:46" s="91" customFormat="1">
      <c r="A136" s="91" t="str">
        <f>IF(C136&gt;0,LEFT(C136,12),A135)</f>
        <v>INDGDMTGASN5</v>
      </c>
      <c r="F136" s="91" t="str">
        <f>F132</f>
        <v>INDNGA, INDBGA, INDSNG1, INDSNG2, INDLPG</v>
      </c>
      <c r="H136" s="91" t="str">
        <f>H132</f>
        <v>IGDMT</v>
      </c>
      <c r="J136" s="91">
        <v>2050</v>
      </c>
      <c r="L136" s="82">
        <f>AF136+AG136</f>
        <v>0.88081421056321729</v>
      </c>
      <c r="N136" s="383" cm="1">
        <f t="array" ref="N136">INDEX('IND tech'!$L$6:$V$182,MATCH($A136&amp;$J136,'IND tech'!$A$6:$A$182&amp;'IND tech'!$J$6:$J$182,0),MATCH(N$5,'IND tech'!$L$3:$V$3,0))+AJ136</f>
        <v>2.8610682000000005</v>
      </c>
      <c r="O136" s="383" cm="1">
        <f t="array" ref="O136">INDEX('IND tech'!$L$6:$V$182,MATCH($A136&amp;$J136,'IND tech'!$A$6:$A$182&amp;'IND tech'!$J$6:$J$182,0),MATCH(O$5,'IND tech'!$L$3:$V$3,0))+AK136</f>
        <v>8.3630909636363659E-2</v>
      </c>
      <c r="P136" s="383" cm="1">
        <f t="array" ref="P136">INDEX('IND tech'!$L$6:$V$182,MATCH($A136&amp;$J136,'IND tech'!$A$6:$A$182&amp;'IND tech'!$J$6:$J$182,0),MATCH(P$5,'IND tech'!$L$3:$V$3,0))+AL136</f>
        <v>1.1668024444444445</v>
      </c>
      <c r="W136" s="91">
        <v>3</v>
      </c>
      <c r="Y136" s="82">
        <f>-1*PMT($Y$3,M128,N136*1000000)/Q128*R128/1000000</f>
        <v>5.5170427952344392</v>
      </c>
      <c r="Z136" s="82">
        <f>O136*1000000/Q128*R128/1000000</f>
        <v>2.5193228105829997</v>
      </c>
      <c r="AA136" s="91">
        <f>SUMIFS('DMS marginal prices'!$G$8:$G$70,'DMS marginal prices'!$F$8:$F$70,J136,'DMS marginal prices'!$D$8:$D$70,"INDNGA")/L136+SUMIFS('DMS marginal prices'!$G$8:$G$70,'DMS marginal prices'!$F$8:$F$70,J137,'DMS marginal prices'!$D$8:$D$70,G137)*U137</f>
        <v>144.03546534943595</v>
      </c>
      <c r="AC136" s="82">
        <f>SUM(Y136:AB139)*1000/(V139*0.9)</f>
        <v>2966.9657780753755</v>
      </c>
      <c r="AF136" s="82" cm="1">
        <f t="array" ref="AF136">INDEX('IND tech'!$L$6:$V$182,MATCH($A136&amp;$J136,'IND tech'!$A$6:$A$182&amp;'IND tech'!$J$6:$J$182,0),MATCH(AF$5,'IND tech'!$L$3:$V$3,0))</f>
        <v>1</v>
      </c>
      <c r="AG136" s="91">
        <f>-AH136/(1+AH136)</f>
        <v>-0.11918578943678274</v>
      </c>
      <c r="AH136" s="91">
        <f>'401.c Post comb - Cement kiln'!$F$11*IND_CCS!AT136</f>
        <v>0.13531320000000002</v>
      </c>
      <c r="AJ136" s="91">
        <f>'401.c Post comb - Cement kiln'!$F$28*7.45*AT136</f>
        <v>2.7493182000000007</v>
      </c>
      <c r="AK136" s="91">
        <f>'401.c Post comb - Cement kiln'!$F$34*IND_CCS!AT136*7.45</f>
        <v>8.2479546000000015E-2</v>
      </c>
      <c r="AL136" s="91">
        <f>$AM$8*'401.c Post comb - Cement kiln'!$F$35*7.45</f>
        <v>0.58735800000000005</v>
      </c>
      <c r="AR136" s="91">
        <f>Emissions!$F$11/AF136</f>
        <v>56.95</v>
      </c>
      <c r="AS136" s="91">
        <f>IF(RIGHT(H136,2)="HT",$AZ$4/$AZ$5,0)</f>
        <v>0</v>
      </c>
      <c r="AT136" s="91">
        <f>$AM$8*(SUM($AR136:$AS136))*1000/8760</f>
        <v>0.20502000000000004</v>
      </c>
    </row>
    <row r="137" spans="1:46" s="91" customFormat="1">
      <c r="A137" s="91" t="str">
        <f>A136</f>
        <v>INDGDMTGASN5</v>
      </c>
      <c r="G137" s="91" t="s">
        <v>310</v>
      </c>
      <c r="J137" s="91">
        <v>2050</v>
      </c>
      <c r="U137" s="91">
        <f>AI137</f>
        <v>3.6903600000000002E-3</v>
      </c>
      <c r="AI137" s="91">
        <f>'401.c Post comb - Cement kiln'!$F$12*IND_CCS!AT136</f>
        <v>3.6903600000000002E-3</v>
      </c>
    </row>
    <row r="138" spans="1:46" s="91" customFormat="1">
      <c r="A138" s="91" t="str">
        <f>A137</f>
        <v>INDGDMTGASN5</v>
      </c>
      <c r="C138" s="91" t="s">
        <v>785</v>
      </c>
      <c r="I138" s="91" t="str">
        <f>'IND tech'!$I$132</f>
        <v>INDGWH</v>
      </c>
      <c r="J138" s="91">
        <v>2050</v>
      </c>
      <c r="V138" s="91" cm="1">
        <f t="array" ref="V138">INDEX('IND tech'!$L$6:$V$182,MATCH($A136&amp;$J136,'IND tech'!$A$6:$A$182&amp;'IND tech'!$J$6:$J$182,0),MATCH(V$5,'IND tech'!$L$3:$V$3,0))</f>
        <v>0.2</v>
      </c>
      <c r="Y138" s="82"/>
      <c r="Z138" s="82"/>
      <c r="AC138" s="82"/>
    </row>
    <row r="139" spans="1:46" s="91" customFormat="1">
      <c r="A139" s="91" t="str">
        <f>A138</f>
        <v>INDGDMTGASN5</v>
      </c>
      <c r="I139" s="91" t="s">
        <v>596</v>
      </c>
      <c r="J139" s="91">
        <v>2050</v>
      </c>
      <c r="V139" s="91">
        <f>SUM(AR136:AS136)</f>
        <v>56.95</v>
      </c>
    </row>
    <row r="140" spans="1:46" s="91" customFormat="1">
      <c r="A140" s="91" t="str">
        <f>IF(C140&gt;0,LEFT(C140,12),A139)</f>
        <v>INDGDHTCOAN1</v>
      </c>
      <c r="C140" s="91" t="str">
        <f>'IND tech'!D165&amp;"CCS"</f>
        <v>INDGDHTCOAN1CCS</v>
      </c>
      <c r="D140" s="91" t="str">
        <f>'IND tech'!E165&amp;"CCS"</f>
        <v>Industrial heating technology Glass &amp; Concrete HT - Coal boiler (Steam) - new 1CCS</v>
      </c>
      <c r="E140" s="91" t="s">
        <v>791</v>
      </c>
      <c r="F140" s="91" t="str">
        <f>'IND tech'!$G$165</f>
        <v>INDCOA</v>
      </c>
      <c r="H140" s="91" t="str">
        <f>"IGD"&amp;MID(C140,6,2)</f>
        <v>IGDHT</v>
      </c>
      <c r="J140" s="91">
        <v>2020</v>
      </c>
      <c r="K140" s="91">
        <v>2020</v>
      </c>
      <c r="L140" s="82">
        <f>AF140+AG140</f>
        <v>0.39144945009789167</v>
      </c>
      <c r="M140" s="91" cm="1">
        <f t="array" ref="M140">INDEX('IND tech'!$L$6:$V$182,MATCH($A140&amp;$J140,'IND tech'!$A$6:$A$182&amp;'IND tech'!$J$6:$J$182,0),MATCH(M$5,'IND tech'!$L$3:$V$3,0))</f>
        <v>25</v>
      </c>
      <c r="N140" s="383" cm="1">
        <f t="array" ref="N140">INDEX('IND tech'!$L$6:$V$182,MATCH($A140&amp;$J140,'IND tech'!$A$6:$A$182&amp;'IND tech'!$J$6:$J$182,0),MATCH(N$5,'IND tech'!$L$3:$V$3,0))+AJ140</f>
        <v>30.400622709923788</v>
      </c>
      <c r="O140" s="383" cm="1">
        <f t="array" ref="O140">INDEX('IND tech'!$L$6:$V$182,MATCH($A140&amp;$J140,'IND tech'!$A$6:$A$182&amp;'IND tech'!$J$6:$J$182,0),MATCH(O$5,'IND tech'!$L$3:$V$3,0))+AK140</f>
        <v>1.0513336812977134</v>
      </c>
      <c r="P140" s="383" cm="1">
        <f t="array" ref="P140">INDEX('IND tech'!$L$6:$V$182,MATCH($A140&amp;$J140,'IND tech'!$A$6:$A$182&amp;'IND tech'!$J$6:$J$182,0),MATCH(P$5,'IND tech'!$L$3:$V$3,0))+AL140</f>
        <v>4.5255107777777779</v>
      </c>
      <c r="Q140" s="91" cm="1">
        <f t="array" ref="Q140">INDEX('IND tech'!$L$6:$V$182,MATCH($A140&amp;$J140,'IND tech'!$A$6:$A$182&amp;'IND tech'!$J$6:$J$182,0),MATCH(Q$5,'IND tech'!$L$3:$V$3,0))</f>
        <v>3.1536000000000002E-2</v>
      </c>
      <c r="R140" s="91">
        <v>0.95</v>
      </c>
      <c r="S140" s="91" cm="1">
        <f t="array" ref="S140">INDEX('IND tech'!$L$6:$V$182,MATCH($A140&amp;$J140,'IND tech'!$A$6:$A$182&amp;'IND tech'!$J$6:$J$182,0),MATCH(S$5,'IND tech'!$L$3:$V$3,0))</f>
        <v>1</v>
      </c>
      <c r="W140" s="91">
        <v>3</v>
      </c>
      <c r="Y140" s="82">
        <f>-1*PMT($Y$3,M140,N140*1000000)/Q140*R140/1000000</f>
        <v>58.621998766903026</v>
      </c>
      <c r="Z140" s="82">
        <f>O140*1000000/Q140*R140/1000000</f>
        <v>31.670693722502147</v>
      </c>
      <c r="AA140" s="91">
        <f>SUMIFS('DMS marginal prices'!$G$8:$G$70,'DMS marginal prices'!$F$8:$F$70,J140,'DMS marginal prices'!$D$8:$D$70,F140)/L140+SUMIFS('DMS marginal prices'!$G$8:$G$70,'DMS marginal prices'!$F$8:$F$70,J141,'DMS marginal prices'!$D$8:$D$70,G141)*U141</f>
        <v>66.662092620247151</v>
      </c>
      <c r="AC140" s="82">
        <f>SUM(Y140:AB143)*1000/(V143)</f>
        <v>526.01425433951977</v>
      </c>
      <c r="AF140" s="82" cm="1">
        <f t="array" ref="AF140">INDEX('IND tech'!$L$6:$V$182,MATCH($A140&amp;$J140,'IND tech'!$A$6:$A$182&amp;'IND tech'!$J$6:$J$182,0),MATCH(AF$5,'IND tech'!$L$3:$V$3,0))</f>
        <v>0.89</v>
      </c>
      <c r="AG140" s="91">
        <f>-AH140/(1+AH140)</f>
        <v>-0.49855054990210834</v>
      </c>
      <c r="AH140" s="91">
        <f>'401.c Post comb - Cement kiln'!$B$11*IND_CCS!AT140</f>
        <v>0.99421895827143225</v>
      </c>
      <c r="AJ140" s="91">
        <f>'401.c Post comb - Cement kiln'!$B$28*7.45*AT140</f>
        <v>26.675622709923786</v>
      </c>
      <c r="AK140" s="91">
        <f>'401.c Post comb - Cement kiln'!$B$34*IND_CCS!AT140*7.45</f>
        <v>0.80026868129771356</v>
      </c>
      <c r="AL140" s="91">
        <f>$AM$8*'401.c Post comb - Cement kiln'!$B$35*7.45</f>
        <v>0.58735800000000005</v>
      </c>
      <c r="AM140" s="91">
        <f>8760*3.6/1000000</f>
        <v>3.1536000000000002E-2</v>
      </c>
      <c r="AR140" s="91">
        <f>Emissions!$C$11/AF140</f>
        <v>106.29213483146067</v>
      </c>
      <c r="AS140" s="91">
        <f>IF(RIGHT(H140,2)="HT",$AZ$4/$AZ$5,0)*0.9</f>
        <v>225.2468001663492</v>
      </c>
      <c r="AT140" s="91">
        <f>$AM$8*(SUM($AR140:$AS140))*1000/8760</f>
        <v>1.1935401659921157</v>
      </c>
    </row>
    <row r="141" spans="1:46" s="91" customFormat="1">
      <c r="A141" s="91" t="str">
        <f>A140</f>
        <v>INDGDHTCOAN1</v>
      </c>
      <c r="G141" s="91" t="s">
        <v>310</v>
      </c>
      <c r="J141" s="91">
        <v>2020</v>
      </c>
      <c r="U141" s="91">
        <f>AI141</f>
        <v>2.9838504149802894E-2</v>
      </c>
      <c r="AI141" s="91">
        <f>'401.c Post comb - Cement kiln'!$B$12*IND_CCS!AT140</f>
        <v>2.9838504149802894E-2</v>
      </c>
    </row>
    <row r="142" spans="1:46" s="91" customFormat="1">
      <c r="A142" s="91" t="str">
        <f>A141</f>
        <v>INDGDHTCOAN1</v>
      </c>
      <c r="C142" s="91" t="s">
        <v>785</v>
      </c>
      <c r="I142" s="91" t="str">
        <f>'IND tech'!$I$132</f>
        <v>INDGWH</v>
      </c>
      <c r="J142" s="91">
        <v>2020</v>
      </c>
      <c r="V142" s="91" cm="1">
        <f t="array" ref="V142">INDEX('IND tech'!$L$6:$V$182,MATCH($A140&amp;$J140,'IND tech'!$A$6:$A$182&amp;'IND tech'!$J$6:$J$182,0),MATCH(V$5,'IND tech'!$L$3:$V$3,0))</f>
        <v>0.41</v>
      </c>
      <c r="Y142" s="82"/>
      <c r="Z142" s="82"/>
      <c r="AC142" s="82"/>
    </row>
    <row r="143" spans="1:46" s="91" customFormat="1">
      <c r="A143" s="91" t="str">
        <f>A142</f>
        <v>INDGDHTCOAN1</v>
      </c>
      <c r="I143" s="91" t="s">
        <v>596</v>
      </c>
      <c r="J143" s="91">
        <v>2020</v>
      </c>
      <c r="V143" s="91">
        <f>SUM(AR140:AS140)*0.9</f>
        <v>298.3850414980289</v>
      </c>
      <c r="AD143" s="91">
        <f>AR140</f>
        <v>106.29213483146067</v>
      </c>
    </row>
    <row r="144" spans="1:46" s="91" customFormat="1">
      <c r="A144" s="91" t="str">
        <f>IF(C144&gt;0,LEFT(C144,12),A143)</f>
        <v>INDGDHTCOAN1</v>
      </c>
      <c r="F144" s="91" t="str">
        <f>F140</f>
        <v>INDCOA</v>
      </c>
      <c r="H144" s="91" t="str">
        <f>H140</f>
        <v>IGDHT</v>
      </c>
      <c r="J144" s="91">
        <v>2030</v>
      </c>
      <c r="L144" s="82">
        <f>AF144+AG144</f>
        <v>0.42782266980917599</v>
      </c>
      <c r="N144" s="383" cm="1">
        <f t="array" ref="N144">INDEX('IND tech'!$L$6:$V$182,MATCH($A144&amp;$J144,'IND tech'!$A$6:$A$182&amp;'IND tech'!$J$6:$J$182,0),MATCH(N$5,'IND tech'!$L$3:$V$3,0))+AJ144</f>
        <v>26.588813361512049</v>
      </c>
      <c r="O144" s="383" cm="1">
        <f t="array" ref="O144">INDEX('IND tech'!$L$6:$V$182,MATCH($A144&amp;$J144,'IND tech'!$A$6:$A$182&amp;'IND tech'!$J$6:$J$182,0),MATCH(O$5,'IND tech'!$L$3:$V$3,0))+AK144</f>
        <v>0.9364361904580184</v>
      </c>
      <c r="P144" s="383" cm="1">
        <f t="array" ref="P144">INDEX('IND tech'!$L$6:$V$182,MATCH($A144&amp;$J144,'IND tech'!$A$6:$A$182&amp;'IND tech'!$J$6:$J$182,0),MATCH(P$5,'IND tech'!$L$3:$V$3,0))+AL144</f>
        <v>4.5710385555555559</v>
      </c>
      <c r="W144" s="91">
        <v>3</v>
      </c>
      <c r="Y144" s="82">
        <f>-1*PMT($Y$3,M140,N144*1000000)/Q140*R140/1000000</f>
        <v>51.271626866484063</v>
      </c>
      <c r="Z144" s="82">
        <f>O144*1000000/Q140*R140/1000000</f>
        <v>28.209486965218083</v>
      </c>
      <c r="AA144" s="91">
        <f>SUMIFS('DMS marginal prices'!$G$8:$G$70,'DMS marginal prices'!$F$8:$F$70,J144,'DMS marginal prices'!$D$8:$D$70,F144)/L144+SUMIFS('DMS marginal prices'!$G$8:$G$70,'DMS marginal prices'!$F$8:$F$70,J145,'DMS marginal prices'!$D$8:$D$70,G145)*U145</f>
        <v>97.057217866199949</v>
      </c>
      <c r="AC144" s="82">
        <f>SUM(Y144:AB147)*1000/(V147)</f>
        <v>591.64605173100904</v>
      </c>
      <c r="AF144" s="82" cm="1">
        <f t="array" ref="AF144">INDEX('IND tech'!$L$6:$V$182,MATCH($A144&amp;$J144,'IND tech'!$A$6:$A$182&amp;'IND tech'!$J$6:$J$182,0),MATCH(AF$5,'IND tech'!$L$3:$V$3,0))</f>
        <v>0.89</v>
      </c>
      <c r="AG144" s="91">
        <f>-AH144/(1+AH144)</f>
        <v>-0.46217733019082402</v>
      </c>
      <c r="AH144" s="91">
        <f>'401.c Post comb - Cement kiln'!$D$11*IND_CCS!AT144</f>
        <v>0.85934891951432324</v>
      </c>
      <c r="AJ144" s="91">
        <f>'401.c Post comb - Cement kiln'!$D$28*7.45*AT144</f>
        <v>23.11887301526728</v>
      </c>
      <c r="AK144" s="91">
        <f>'401.c Post comb - Cement kiln'!$D$34*IND_CCS!AT144*7.45</f>
        <v>0.69356619045801837</v>
      </c>
      <c r="AL144" s="91">
        <f>$AM$8*'401.c Post comb - Cement kiln'!$D$35*7.45</f>
        <v>0.58735800000000005</v>
      </c>
      <c r="AR144" s="91">
        <f>Emissions!$C$11/AF144</f>
        <v>106.29213483146067</v>
      </c>
      <c r="AS144" s="91">
        <f>IF(RIGHT(H144,2)="HT",$AZ$4/$AZ$5,0)*0.9</f>
        <v>225.2468001663492</v>
      </c>
      <c r="AT144" s="91">
        <f>$AM$8*(SUM($AR144:$AS144))*1000/8760</f>
        <v>1.1935401659921157</v>
      </c>
    </row>
    <row r="145" spans="1:46" s="91" customFormat="1">
      <c r="A145" s="91" t="str">
        <f>A144</f>
        <v>INDGDHTCOAN1</v>
      </c>
      <c r="G145" s="91" t="s">
        <v>310</v>
      </c>
      <c r="J145" s="91">
        <v>2030</v>
      </c>
      <c r="U145" s="91">
        <f>AI145</f>
        <v>2.6257883651826543E-2</v>
      </c>
      <c r="AI145" s="91">
        <f>'401.c Post comb - Cement kiln'!$D$12*IND_CCS!AT144</f>
        <v>2.6257883651826543E-2</v>
      </c>
    </row>
    <row r="146" spans="1:46" s="91" customFormat="1">
      <c r="A146" s="91" t="str">
        <f>A145</f>
        <v>INDGDHTCOAN1</v>
      </c>
      <c r="C146" s="91" t="s">
        <v>785</v>
      </c>
      <c r="I146" s="91" t="str">
        <f>'IND tech'!$I$132</f>
        <v>INDGWH</v>
      </c>
      <c r="J146" s="91">
        <v>2030</v>
      </c>
      <c r="V146" s="91" cm="1">
        <f t="array" ref="V146">INDEX('IND tech'!$L$6:$V$182,MATCH($A144&amp;$J144,'IND tech'!$A$6:$A$182&amp;'IND tech'!$J$6:$J$182,0),MATCH(V$5,'IND tech'!$L$3:$V$3,0))</f>
        <v>0.41</v>
      </c>
      <c r="Y146" s="82"/>
      <c r="Z146" s="82"/>
      <c r="AC146" s="82"/>
    </row>
    <row r="147" spans="1:46" s="91" customFormat="1">
      <c r="A147" s="91" t="str">
        <f>A146</f>
        <v>INDGDHTCOAN1</v>
      </c>
      <c r="I147" s="91" t="s">
        <v>596</v>
      </c>
      <c r="J147" s="91">
        <v>2030</v>
      </c>
      <c r="V147" s="91">
        <f>SUM(AR144:AS144)*0.9</f>
        <v>298.3850414980289</v>
      </c>
    </row>
    <row r="148" spans="1:46" s="91" customFormat="1">
      <c r="A148" s="91" t="str">
        <f>IF(C148&gt;0,LEFT(C148,12),A147)</f>
        <v>INDGDHTCOAN1</v>
      </c>
      <c r="F148" s="91" t="str">
        <f>F144</f>
        <v>INDCOA</v>
      </c>
      <c r="H148" s="91" t="str">
        <f>H144</f>
        <v>IGDHT</v>
      </c>
      <c r="J148" s="91">
        <v>2050</v>
      </c>
      <c r="L148" s="82">
        <f>AF148+AG148</f>
        <v>0.47110867427500713</v>
      </c>
      <c r="N148" s="383" cm="1">
        <f t="array" ref="N148">INDEX('IND tech'!$L$6:$V$182,MATCH($A148&amp;$J148,'IND tech'!$A$6:$A$182&amp;'IND tech'!$J$6:$J$182,0),MATCH(N$5,'IND tech'!$L$3:$V$3,0))+AJ148</f>
        <v>19.173995078722317</v>
      </c>
      <c r="O148" s="383" cm="1">
        <f t="array" ref="O148">INDEX('IND tech'!$L$6:$V$182,MATCH($A148&amp;$J148,'IND tech'!$A$6:$A$182&amp;'IND tech'!$J$6:$J$182,0),MATCH(O$5,'IND tech'!$L$3:$V$3,0))+AK148</f>
        <v>0.70474789508557956</v>
      </c>
      <c r="P148" s="383" cm="1">
        <f t="array" ref="P148">INDEX('IND tech'!$L$6:$V$182,MATCH($A148&amp;$J148,'IND tech'!$A$6:$A$182&amp;'IND tech'!$J$6:$J$182,0),MATCH(P$5,'IND tech'!$L$3:$V$3,0))+AL148</f>
        <v>4.593802444444445</v>
      </c>
      <c r="W148" s="91">
        <v>3</v>
      </c>
      <c r="Y148" s="82">
        <f>-1*PMT($Y$3,M140,N148*1000000)/Q140*R140/1000000</f>
        <v>36.973516187040047</v>
      </c>
      <c r="Z148" s="82">
        <f>O148*1000000/Q140*R140/1000000</f>
        <v>21.23003869645169</v>
      </c>
      <c r="AA148" s="91">
        <f>SUMIFS('DMS marginal prices'!$G$8:$G$70,'DMS marginal prices'!$F$8:$F$70,J148,'DMS marginal prices'!$D$8:$D$70,F148)/L148+SUMIFS('DMS marginal prices'!$G$8:$G$70,'DMS marginal prices'!$F$8:$F$70,J149,'DMS marginal prices'!$D$8:$D$70,G149)*U149</f>
        <v>74.089338754765208</v>
      </c>
      <c r="AC148" s="82">
        <f>SUM(Y148:AB151)*1000/(V151)</f>
        <v>446.5092166331894</v>
      </c>
      <c r="AF148" s="82" cm="1">
        <f t="array" ref="AF148">INDEX('IND tech'!$L$6:$V$182,MATCH($A148&amp;$J148,'IND tech'!$A$6:$A$182&amp;'IND tech'!$J$6:$J$182,0),MATCH(AF$5,'IND tech'!$L$3:$V$3,0))</f>
        <v>0.91</v>
      </c>
      <c r="AG148" s="91">
        <f>-AH148/(1+AH148)</f>
        <v>-0.4388913257249929</v>
      </c>
      <c r="AH148" s="91">
        <f>'401.c Post comb - Cement kiln'!$F$11*IND_CCS!AT148</f>
        <v>0.78218595763480614</v>
      </c>
      <c r="AJ148" s="91">
        <f>'401.c Post comb - Cement kiln'!$F$28*7.45*AT148</f>
        <v>15.892596502852651</v>
      </c>
      <c r="AK148" s="91">
        <f>'401.c Post comb - Cement kiln'!$F$34*IND_CCS!AT148*7.45</f>
        <v>0.47677789508557955</v>
      </c>
      <c r="AL148" s="91">
        <f>$AM$8*'401.c Post comb - Cement kiln'!$F$35*7.45</f>
        <v>0.58735800000000005</v>
      </c>
      <c r="AR148" s="91">
        <f>Emissions!$C$11/AF148</f>
        <v>103.95604395604394</v>
      </c>
      <c r="AS148" s="91">
        <f>IF(RIGHT(H148,2)="HT",$AZ$4/$AZ$5,0)*0.9</f>
        <v>225.2468001663492</v>
      </c>
      <c r="AT148" s="91">
        <f>$AM$8*(SUM($AR148:$AS148))*1000/8760</f>
        <v>1.1851302388406153</v>
      </c>
    </row>
    <row r="149" spans="1:46" s="91" customFormat="1">
      <c r="A149" s="91" t="str">
        <f>A148</f>
        <v>INDGDHTCOAN1</v>
      </c>
      <c r="G149" s="91" t="s">
        <v>310</v>
      </c>
      <c r="J149" s="91">
        <v>2050</v>
      </c>
      <c r="U149" s="91">
        <f>AI149</f>
        <v>2.1332344299131074E-2</v>
      </c>
      <c r="AI149" s="91">
        <f>'401.c Post comb - Cement kiln'!$F$12*IND_CCS!AT148</f>
        <v>2.1332344299131074E-2</v>
      </c>
    </row>
    <row r="150" spans="1:46" s="91" customFormat="1">
      <c r="A150" s="91" t="str">
        <f>A149</f>
        <v>INDGDHTCOAN1</v>
      </c>
      <c r="C150" s="91" t="s">
        <v>785</v>
      </c>
      <c r="I150" s="91" t="str">
        <f>'IND tech'!$I$132</f>
        <v>INDGWH</v>
      </c>
      <c r="J150" s="91">
        <v>2050</v>
      </c>
      <c r="V150" s="91" cm="1">
        <f t="array" ref="V150">INDEX('IND tech'!$L$6:$V$182,MATCH($A148&amp;$J148,'IND tech'!$A$6:$A$182&amp;'IND tech'!$J$6:$J$182,0),MATCH(V$5,'IND tech'!$L$3:$V$3,0))</f>
        <v>0.38999999999999996</v>
      </c>
      <c r="Y150" s="82"/>
      <c r="Z150" s="82"/>
      <c r="AC150" s="82"/>
    </row>
    <row r="151" spans="1:46" s="91" customFormat="1">
      <c r="A151" s="91" t="str">
        <f>A150</f>
        <v>INDGDHTCOAN1</v>
      </c>
      <c r="I151" s="91" t="s">
        <v>596</v>
      </c>
      <c r="J151" s="91">
        <v>2050</v>
      </c>
      <c r="V151" s="91">
        <f>SUM(AR148:AS148)*0.9</f>
        <v>296.28255971015381</v>
      </c>
    </row>
    <row r="152" spans="1:46" s="91" customFormat="1">
      <c r="A152" s="91" t="str">
        <f>IF(C152&gt;0,LEFT(C152,12),A151)</f>
        <v>INDGDMTCOAN1</v>
      </c>
      <c r="C152" s="91" t="str">
        <f>'IND tech'!D168&amp;"CCS"</f>
        <v>INDGDMTCOAN1CCS</v>
      </c>
      <c r="D152" s="91" t="str">
        <f>'IND tech'!E168&amp;"CCS"</f>
        <v>Industrial heating technology Glass &amp; Concrete MT - Coal boiler (Steam) - new 1CCS</v>
      </c>
      <c r="E152" s="91" t="s">
        <v>791</v>
      </c>
      <c r="F152" s="91" t="str">
        <f>'IND tech'!$G$165</f>
        <v>INDCOA</v>
      </c>
      <c r="H152" s="91" t="str">
        <f>"IGD"&amp;MID(C152,6,2)</f>
        <v>IGDMT</v>
      </c>
      <c r="J152" s="91">
        <v>2020</v>
      </c>
      <c r="K152" s="91">
        <v>2020</v>
      </c>
      <c r="L152" s="82">
        <f>AF152+AG152</f>
        <v>0.64829449786283644</v>
      </c>
      <c r="M152" s="91" cm="1">
        <f t="array" ref="M152">INDEX('IND tech'!$L$6:$V$182,MATCH($A152&amp;$J152,'IND tech'!$A$6:$A$182&amp;'IND tech'!$J$6:$J$182,0),MATCH(M$5,'IND tech'!$L$3:$V$3,0))</f>
        <v>25</v>
      </c>
      <c r="N152" s="383" cm="1">
        <f t="array" ref="N152">INDEX('IND tech'!$L$6:$V$182,MATCH($A152&amp;$J152,'IND tech'!$A$6:$A$182&amp;'IND tech'!$J$6:$J$182,0),MATCH(N$5,'IND tech'!$L$3:$V$3,0))+AJ152</f>
        <v>12.277265168539326</v>
      </c>
      <c r="O152" s="383" cm="1">
        <f t="array" ref="O152">INDEX('IND tech'!$L$6:$V$182,MATCH($A152&amp;$J152,'IND tech'!$A$6:$A$182&amp;'IND tech'!$J$6:$J$182,0),MATCH(O$5,'IND tech'!$L$3:$V$3,0))+AK152</f>
        <v>0.50763295505617978</v>
      </c>
      <c r="P152" s="383" cm="1">
        <f t="array" ref="P152">INDEX('IND tech'!$L$6:$V$182,MATCH($A152&amp;$J152,'IND tech'!$A$6:$A$182&amp;'IND tech'!$J$6:$J$182,0),MATCH(P$5,'IND tech'!$L$3:$V$3,0))+AL152</f>
        <v>4.5255107777777779</v>
      </c>
      <c r="Q152" s="91" cm="1">
        <f t="array" ref="Q152">INDEX('IND tech'!$L$6:$V$182,MATCH($A152&amp;$J152,'IND tech'!$A$6:$A$182&amp;'IND tech'!$J$6:$J$182,0),MATCH(Q$5,'IND tech'!$L$3:$V$3,0))</f>
        <v>3.1536000000000002E-2</v>
      </c>
      <c r="R152" s="91">
        <v>0.95</v>
      </c>
      <c r="S152" s="91" cm="1">
        <f t="array" ref="S152">INDEX('IND tech'!$L$6:$V$182,MATCH($A152&amp;$J152,'IND tech'!$A$6:$A$182&amp;'IND tech'!$J$6:$J$182,0),MATCH(S$5,'IND tech'!$L$3:$V$3,0))</f>
        <v>0.97</v>
      </c>
      <c r="W152" s="91">
        <v>3</v>
      </c>
      <c r="Y152" s="82">
        <f>-1*PMT($Y$3,M152,N152*1000000)/Q152*R152/1000000</f>
        <v>23.674443462505575</v>
      </c>
      <c r="Z152" s="82">
        <f>O152*1000000/Q152*R152/1000000</f>
        <v>15.292088638488419</v>
      </c>
      <c r="AA152" s="91">
        <f>SUMIFS('DMS marginal prices'!$G$8:$G$70,'DMS marginal prices'!$F$8:$F$70,J152,'DMS marginal prices'!$D$8:$D$70,F152)/L152+SUMIFS('DMS marginal prices'!$G$8:$G$70,'DMS marginal prices'!$F$8:$F$70,J153,'DMS marginal prices'!$D$8:$D$70,G153)*U153</f>
        <v>38.986097089358509</v>
      </c>
      <c r="AC152" s="82">
        <f>SUM(Y152:AB155)*1000/(V155)</f>
        <v>733.38097229824234</v>
      </c>
      <c r="AF152" s="82" cm="1">
        <f t="array" ref="AF152">INDEX('IND tech'!$L$6:$V$182,MATCH($A152&amp;$J152,'IND tech'!$A$6:$A$182&amp;'IND tech'!$J$6:$J$182,0),MATCH(AF$5,'IND tech'!$L$3:$V$3,0))</f>
        <v>0.89</v>
      </c>
      <c r="AG152" s="91">
        <f>-AH152/(1+AH152)</f>
        <v>-0.2417055021371636</v>
      </c>
      <c r="AH152" s="91">
        <f>'401.c Post comb - Cement kiln'!$B$11*IND_CCS!AT152</f>
        <v>0.31874885393258429</v>
      </c>
      <c r="AJ152" s="91">
        <f>'401.c Post comb - Cement kiln'!$B$28*7.45*AT152</f>
        <v>8.5522651685393267</v>
      </c>
      <c r="AK152" s="91">
        <f>'401.c Post comb - Cement kiln'!$B$34*IND_CCS!AT152*7.45</f>
        <v>0.25656795505617974</v>
      </c>
      <c r="AL152" s="91">
        <f>$AM$8*'401.c Post comb - Cement kiln'!$B$35*7.45</f>
        <v>0.58735800000000005</v>
      </c>
      <c r="AM152" s="91">
        <f>8760*3.6/1000000</f>
        <v>3.1536000000000002E-2</v>
      </c>
      <c r="AR152" s="91">
        <f>Emissions!$C$11/AF152</f>
        <v>106.29213483146067</v>
      </c>
      <c r="AS152" s="91">
        <f>IF(RIGHT(H152,2)="HT",$AZ$4/$AZ$5,0)</f>
        <v>0</v>
      </c>
      <c r="AT152" s="91">
        <f>$AM$8*(SUM($AR152:$AS152))*1000/8760</f>
        <v>0.38265168539325844</v>
      </c>
    </row>
    <row r="153" spans="1:46" s="91" customFormat="1">
      <c r="A153" s="91" t="str">
        <f>A152</f>
        <v>INDGDMTCOAN1</v>
      </c>
      <c r="G153" s="91" t="s">
        <v>310</v>
      </c>
      <c r="J153" s="91">
        <v>2020</v>
      </c>
      <c r="U153" s="91">
        <f>AI153</f>
        <v>9.5662921348314625E-3</v>
      </c>
      <c r="AI153" s="91">
        <f>'401.c Post comb - Cement kiln'!$B$12*IND_CCS!AT152</f>
        <v>9.5662921348314625E-3</v>
      </c>
    </row>
    <row r="154" spans="1:46" s="91" customFormat="1">
      <c r="A154" s="91" t="str">
        <f>A153</f>
        <v>INDGDMTCOAN1</v>
      </c>
      <c r="C154" s="91" t="s">
        <v>785</v>
      </c>
      <c r="I154" s="91" t="str">
        <f>'IND tech'!$I$132</f>
        <v>INDGWH</v>
      </c>
      <c r="J154" s="91">
        <v>2020</v>
      </c>
      <c r="V154" s="91" cm="1">
        <f t="array" ref="V154">INDEX('IND tech'!$L$6:$V$182,MATCH($A152&amp;$J152,'IND tech'!$A$6:$A$182&amp;'IND tech'!$J$6:$J$182,0),MATCH(V$5,'IND tech'!$L$3:$V$3,0))</f>
        <v>0.31</v>
      </c>
      <c r="Y154" s="82"/>
      <c r="Z154" s="82"/>
      <c r="AC154" s="82"/>
    </row>
    <row r="155" spans="1:46" s="91" customFormat="1">
      <c r="A155" s="91" t="str">
        <f>A154</f>
        <v>INDGDMTCOAN1</v>
      </c>
      <c r="I155" s="91" t="s">
        <v>596</v>
      </c>
      <c r="J155" s="91">
        <v>2020</v>
      </c>
      <c r="V155" s="91">
        <f>SUM(AR152:AS152)</f>
        <v>106.29213483146067</v>
      </c>
    </row>
    <row r="156" spans="1:46" s="91" customFormat="1">
      <c r="A156" s="91" t="str">
        <f>IF(C156&gt;0,LEFT(C156,12),A155)</f>
        <v>INDGDMTCOAN1</v>
      </c>
      <c r="F156" s="91" t="str">
        <f>F152</f>
        <v>INDCOA</v>
      </c>
      <c r="H156" s="91" t="str">
        <f>H152</f>
        <v>IGDMT</v>
      </c>
      <c r="J156" s="91">
        <v>2030</v>
      </c>
      <c r="L156" s="82">
        <f>AF156+AG156</f>
        <v>0.67400060887777624</v>
      </c>
      <c r="N156" s="383" cm="1">
        <f t="array" ref="N156">INDEX('IND tech'!$L$6:$V$182,MATCH($A156&amp;$J156,'IND tech'!$A$6:$A$182&amp;'IND tech'!$J$6:$J$182,0),MATCH(N$5,'IND tech'!$L$3:$V$3,0))+AJ156</f>
        <v>10.881903492312187</v>
      </c>
      <c r="O156" s="383" cm="1">
        <f t="array" ref="O156">INDEX('IND tech'!$L$6:$V$182,MATCH($A156&amp;$J156,'IND tech'!$A$6:$A$182&amp;'IND tech'!$J$6:$J$182,0),MATCH(O$5,'IND tech'!$L$3:$V$3,0))+AK156</f>
        <v>0.46522889438202253</v>
      </c>
      <c r="P156" s="383" cm="1">
        <f t="array" ref="P156">INDEX('IND tech'!$L$6:$V$182,MATCH($A156&amp;$J156,'IND tech'!$A$6:$A$182&amp;'IND tech'!$J$6:$J$182,0),MATCH(P$5,'IND tech'!$L$3:$V$3,0))+AL156</f>
        <v>4.5710385555555559</v>
      </c>
      <c r="W156" s="91">
        <v>3</v>
      </c>
      <c r="Y156" s="82">
        <f>-1*PMT($Y$3,M152,N156*1000000)/Q152*R152/1000000</f>
        <v>20.983745602672947</v>
      </c>
      <c r="Z156" s="82">
        <f>O156*1000000/Q152*R152/1000000</f>
        <v>14.014695892406182</v>
      </c>
      <c r="AA156" s="91">
        <f>SUMIFS('DMS marginal prices'!$G$8:$G$70,'DMS marginal prices'!$F$8:$F$70,J156,'DMS marginal prices'!$D$8:$D$70,F156)/L156+SUMIFS('DMS marginal prices'!$G$8:$G$70,'DMS marginal prices'!$F$8:$F$70,J157,'DMS marginal prices'!$D$8:$D$70,G157)*U157</f>
        <v>60.270053901133089</v>
      </c>
      <c r="AC156" s="82">
        <f>SUM(Y156:AB159)*1000/(V159)</f>
        <v>896.2892273005167</v>
      </c>
      <c r="AF156" s="82" cm="1">
        <f t="array" ref="AF156">INDEX('IND tech'!$L$6:$V$182,MATCH($A156&amp;$J156,'IND tech'!$A$6:$A$182&amp;'IND tech'!$J$6:$J$182,0),MATCH(AF$5,'IND tech'!$L$3:$V$3,0))</f>
        <v>0.89</v>
      </c>
      <c r="AG156" s="91">
        <f>-AH156/(1+AH156)</f>
        <v>-0.21599939112222374</v>
      </c>
      <c r="AH156" s="91">
        <f>'401.c Post comb - Cement kiln'!$D$11*IND_CCS!AT156</f>
        <v>0.27550921348314605</v>
      </c>
      <c r="AJ156" s="91">
        <f>'401.c Post comb - Cement kiln'!$D$28*7.45*AT156</f>
        <v>7.411963146067416</v>
      </c>
      <c r="AK156" s="91">
        <f>'401.c Post comb - Cement kiln'!$D$34*IND_CCS!AT156*7.45</f>
        <v>0.2223588943820225</v>
      </c>
      <c r="AL156" s="91">
        <f>$AM$8*'401.c Post comb - Cement kiln'!$D$35*7.45</f>
        <v>0.58735800000000005</v>
      </c>
      <c r="AR156" s="91">
        <f>Emissions!$C$11/AF156</f>
        <v>106.29213483146067</v>
      </c>
      <c r="AS156" s="91">
        <f>IF(RIGHT(H156,2)="HT",$AZ$4/$AZ$5,0)</f>
        <v>0</v>
      </c>
      <c r="AT156" s="91">
        <f>$AM$8*(SUM($AR156:$AS156))*1000/8760</f>
        <v>0.38265168539325844</v>
      </c>
    </row>
    <row r="157" spans="1:46" s="91" customFormat="1">
      <c r="A157" s="91" t="str">
        <f>A156</f>
        <v>INDGDMTCOAN1</v>
      </c>
      <c r="G157" s="91" t="s">
        <v>310</v>
      </c>
      <c r="J157" s="91">
        <v>2030</v>
      </c>
      <c r="U157" s="91">
        <f>AI157</f>
        <v>8.4183370786516856E-3</v>
      </c>
      <c r="AI157" s="91">
        <f>'401.c Post comb - Cement kiln'!$D$12*IND_CCS!AT156</f>
        <v>8.4183370786516856E-3</v>
      </c>
    </row>
    <row r="158" spans="1:46" s="91" customFormat="1">
      <c r="A158" s="91" t="str">
        <f>A157</f>
        <v>INDGDMTCOAN1</v>
      </c>
      <c r="C158" s="91" t="s">
        <v>785</v>
      </c>
      <c r="I158" s="91" t="str">
        <f>'IND tech'!$I$132</f>
        <v>INDGWH</v>
      </c>
      <c r="J158" s="91">
        <v>2030</v>
      </c>
      <c r="V158" s="91" cm="1">
        <f t="array" ref="V158">INDEX('IND tech'!$L$6:$V$182,MATCH($A156&amp;$J156,'IND tech'!$A$6:$A$182&amp;'IND tech'!$J$6:$J$182,0),MATCH(V$5,'IND tech'!$L$3:$V$3,0))</f>
        <v>0.31</v>
      </c>
      <c r="Y158" s="82"/>
      <c r="Z158" s="82"/>
      <c r="AC158" s="82"/>
    </row>
    <row r="159" spans="1:46" s="91" customFormat="1">
      <c r="A159" s="91" t="str">
        <f>A158</f>
        <v>INDGDMTCOAN1</v>
      </c>
      <c r="I159" s="91" t="s">
        <v>596</v>
      </c>
      <c r="J159" s="91">
        <v>2030</v>
      </c>
      <c r="V159" s="91">
        <f>SUM(AR156:AS156)</f>
        <v>106.29213483146067</v>
      </c>
    </row>
    <row r="160" spans="1:46" s="91" customFormat="1">
      <c r="A160" s="91" t="str">
        <f>IF(C160&gt;0,LEFT(C160,12),A159)</f>
        <v>INDGDMTCOAN1</v>
      </c>
      <c r="F160" s="91" t="str">
        <f>F156</f>
        <v>INDCOA</v>
      </c>
      <c r="H160" s="91" t="str">
        <f>H156</f>
        <v>IGDMT</v>
      </c>
      <c r="J160" s="91">
        <v>2050</v>
      </c>
      <c r="L160" s="82">
        <f>AF160+AG160</f>
        <v>0.71192490175979339</v>
      </c>
      <c r="N160" s="383" cm="1">
        <f t="array" ref="N160">INDEX('IND tech'!$L$6:$V$182,MATCH($A160&amp;$J160,'IND tech'!$A$6:$A$182&amp;'IND tech'!$J$6:$J$182,0),MATCH(N$5,'IND tech'!$L$3:$V$3,0))+AJ160</f>
        <v>8.2999805538916416</v>
      </c>
      <c r="O160" s="383" cm="1">
        <f t="array" ref="O160">INDEX('IND tech'!$L$6:$V$182,MATCH($A160&amp;$J160,'IND tech'!$A$6:$A$182&amp;'IND tech'!$J$6:$J$182,0),MATCH(O$5,'IND tech'!$L$3:$V$3,0))+AK160</f>
        <v>0.37852745934065934</v>
      </c>
      <c r="P160" s="383" cm="1">
        <f t="array" ref="P160">INDEX('IND tech'!$L$6:$V$182,MATCH($A160&amp;$J160,'IND tech'!$A$6:$A$182&amp;'IND tech'!$J$6:$J$182,0),MATCH(P$5,'IND tech'!$L$3:$V$3,0))+AL160</f>
        <v>4.593802444444445</v>
      </c>
      <c r="W160" s="91">
        <v>3</v>
      </c>
      <c r="Y160" s="82">
        <f>-1*PMT($Y$3,M152,N160*1000000)/Q152*R152/1000000</f>
        <v>16.004983004401577</v>
      </c>
      <c r="Z160" s="82">
        <f>O160*1000000/Q152*R152/1000000</f>
        <v>11.402875646043451</v>
      </c>
      <c r="AA160" s="91">
        <f>SUMIFS('DMS marginal prices'!$G$8:$G$70,'DMS marginal prices'!$F$8:$F$70,J160,'DMS marginal prices'!$D$8:$D$70,F160)/L160+SUMIFS('DMS marginal prices'!$G$8:$G$70,'DMS marginal prices'!$F$8:$F$70,J161,'DMS marginal prices'!$D$8:$D$70,G161)*U161</f>
        <v>48.071394585309207</v>
      </c>
      <c r="AC160" s="82">
        <f>SUM(Y160:AB163)*1000/(V163)</f>
        <v>726.06892647501445</v>
      </c>
      <c r="AF160" s="82" cm="1">
        <f t="array" ref="AF160">INDEX('IND tech'!$L$6:$V$182,MATCH($A160&amp;$J160,'IND tech'!$A$6:$A$182&amp;'IND tech'!$J$6:$J$182,0),MATCH(AF$5,'IND tech'!$L$3:$V$3,0))</f>
        <v>0.91</v>
      </c>
      <c r="AG160" s="91">
        <f>-AH160/(1+AH160)</f>
        <v>-0.19807509824020661</v>
      </c>
      <c r="AH160" s="91">
        <f>'401.c Post comb - Cement kiln'!$F$11*IND_CCS!AT160</f>
        <v>0.24699956043956042</v>
      </c>
      <c r="AJ160" s="91">
        <f>'401.c Post comb - Cement kiln'!$F$28*7.45*AT160</f>
        <v>5.0185819780219774</v>
      </c>
      <c r="AK160" s="91">
        <f>'401.c Post comb - Cement kiln'!$F$34*IND_CCS!AT160*7.45</f>
        <v>0.15055745934065931</v>
      </c>
      <c r="AL160" s="91">
        <f>$AM$8*'401.c Post comb - Cement kiln'!$F$35*7.45</f>
        <v>0.58735800000000005</v>
      </c>
      <c r="AR160" s="91">
        <f>Emissions!$C$11/AF160</f>
        <v>103.95604395604394</v>
      </c>
      <c r="AS160" s="91">
        <f>IF(RIGHT(H160,2)="HT",$AZ$4/$AZ$5,0)</f>
        <v>0</v>
      </c>
      <c r="AT160" s="91">
        <f>$AM$8*(SUM($AR160:$AS160))*1000/8760</f>
        <v>0.3742417582417582</v>
      </c>
    </row>
    <row r="161" spans="1:46" s="91" customFormat="1">
      <c r="A161" s="91" t="str">
        <f>A160</f>
        <v>INDGDMTCOAN1</v>
      </c>
      <c r="G161" s="91" t="s">
        <v>310</v>
      </c>
      <c r="J161" s="91">
        <v>2050</v>
      </c>
      <c r="U161" s="91">
        <f>AI161</f>
        <v>6.7363516483516473E-3</v>
      </c>
      <c r="AI161" s="91">
        <f>'401.c Post comb - Cement kiln'!$F$12*IND_CCS!AT160</f>
        <v>6.7363516483516473E-3</v>
      </c>
    </row>
    <row r="162" spans="1:46" s="91" customFormat="1">
      <c r="A162" s="91" t="str">
        <f>A161</f>
        <v>INDGDMTCOAN1</v>
      </c>
      <c r="C162" s="91" t="s">
        <v>785</v>
      </c>
      <c r="I162" s="91" t="str">
        <f>'IND tech'!$I$132</f>
        <v>INDGWH</v>
      </c>
      <c r="J162" s="91">
        <v>2050</v>
      </c>
      <c r="V162" s="91" cm="1">
        <f t="array" ref="V162">INDEX('IND tech'!$L$6:$V$182,MATCH($A160&amp;$J160,'IND tech'!$A$6:$A$182&amp;'IND tech'!$J$6:$J$182,0),MATCH(V$5,'IND tech'!$L$3:$V$3,0))</f>
        <v>0.28999999999999998</v>
      </c>
      <c r="Y162" s="82"/>
      <c r="Z162" s="82"/>
      <c r="AC162" s="82"/>
    </row>
    <row r="163" spans="1:46" s="91" customFormat="1">
      <c r="A163" s="91" t="str">
        <f>A162</f>
        <v>INDGDMTCOAN1</v>
      </c>
      <c r="I163" s="91" t="s">
        <v>596</v>
      </c>
      <c r="J163" s="91">
        <v>2050</v>
      </c>
      <c r="V163" s="91">
        <f>SUM(AR160:AS160)</f>
        <v>103.95604395604394</v>
      </c>
    </row>
    <row r="164" spans="1:46" s="91" customFormat="1">
      <c r="A164" s="91" t="str">
        <f>IF(C164&gt;0,LEFT(C164,12),A163)</f>
        <v>INDGDRHCOAN1</v>
      </c>
      <c r="C164" s="91" t="str">
        <f>'IND tech'!D171&amp;"CCS"</f>
        <v>INDGDRHCOAN1CCS</v>
      </c>
      <c r="D164" s="91" t="str">
        <f>'IND tech'!E171&amp;"CCS"</f>
        <v>Industrial heating technology Glass &amp; Concrete RH - Coal boiler (Steam) - new 1CCS</v>
      </c>
      <c r="E164" s="91" t="s">
        <v>791</v>
      </c>
      <c r="F164" s="91" t="str">
        <f>'IND tech'!$G$165</f>
        <v>INDCOA</v>
      </c>
      <c r="H164" s="91" t="str">
        <f>"IGD"&amp;MID(C164,6,2)</f>
        <v>IGDRH</v>
      </c>
      <c r="J164" s="91">
        <v>2020</v>
      </c>
      <c r="K164" s="91">
        <v>2020</v>
      </c>
      <c r="L164" s="82">
        <f>AF164+AG164</f>
        <v>0.64829449786283644</v>
      </c>
      <c r="M164" s="91" cm="1">
        <f t="array" ref="M164">INDEX('IND tech'!$L$6:$V$182,MATCH($A164&amp;$J164,'IND tech'!$A$6:$A$182&amp;'IND tech'!$J$6:$J$182,0),MATCH(M$5,'IND tech'!$L$3:$V$3,0))</f>
        <v>25</v>
      </c>
      <c r="N164" s="383" cm="1">
        <f t="array" ref="N164">INDEX('IND tech'!$L$6:$V$182,MATCH($A164&amp;$J164,'IND tech'!$A$6:$A$182&amp;'IND tech'!$J$6:$J$182,0),MATCH(N$5,'IND tech'!$L$3:$V$3,0))+AJ164</f>
        <v>12.277265168539326</v>
      </c>
      <c r="O164" s="383" cm="1">
        <f t="array" ref="O164">INDEX('IND tech'!$L$6:$V$182,MATCH($A164&amp;$J164,'IND tech'!$A$6:$A$182&amp;'IND tech'!$J$6:$J$182,0),MATCH(O$5,'IND tech'!$L$3:$V$3,0))+AK164</f>
        <v>0.50763295505617978</v>
      </c>
      <c r="P164" s="383" cm="1">
        <f t="array" ref="P164">INDEX('IND tech'!$L$6:$V$182,MATCH($A164&amp;$J164,'IND tech'!$A$6:$A$182&amp;'IND tech'!$J$6:$J$182,0),MATCH(P$5,'IND tech'!$L$3:$V$3,0))+AL164</f>
        <v>4.5255107777777779</v>
      </c>
      <c r="Q164" s="91" cm="1">
        <f t="array" ref="Q164">INDEX('IND tech'!$L$6:$V$182,MATCH($A164&amp;$J164,'IND tech'!$A$6:$A$182&amp;'IND tech'!$J$6:$J$182,0),MATCH(Q$5,'IND tech'!$L$3:$V$3,0))</f>
        <v>3.1536000000000002E-2</v>
      </c>
      <c r="R164" s="91">
        <v>0.95</v>
      </c>
      <c r="S164" s="91" cm="1">
        <f t="array" ref="S164">INDEX('IND tech'!$L$6:$V$182,MATCH($A164&amp;$J164,'IND tech'!$A$6:$A$182&amp;'IND tech'!$J$6:$J$182,0),MATCH(S$5,'IND tech'!$L$3:$V$3,0))</f>
        <v>1</v>
      </c>
      <c r="W164" s="91">
        <v>3</v>
      </c>
      <c r="Y164" s="82">
        <f>-1*PMT($Y$3,M164,N164*1000000)/Q164*R164/1000000</f>
        <v>23.674443462505575</v>
      </c>
      <c r="Z164" s="82">
        <f>O164*1000000/Q164*R164/1000000</f>
        <v>15.292088638488419</v>
      </c>
      <c r="AA164" s="91">
        <f>SUMIFS('DMS marginal prices'!$G$8:$G$70,'DMS marginal prices'!$F$8:$F$70,J164,'DMS marginal prices'!$D$8:$D$70,F164)/L164+SUMIFS('DMS marginal prices'!$G$8:$G$70,'DMS marginal prices'!$F$8:$F$70,J165,'DMS marginal prices'!$D$8:$D$70,G165)*U165</f>
        <v>38.986097089358509</v>
      </c>
      <c r="AC164" s="82">
        <f>SUM(Y164:AB167)*1000/(V167)</f>
        <v>733.38097229824234</v>
      </c>
      <c r="AF164" s="82" cm="1">
        <f t="array" ref="AF164">INDEX('IND tech'!$L$6:$V$182,MATCH($A164&amp;$J164,'IND tech'!$A$6:$A$182&amp;'IND tech'!$J$6:$J$182,0),MATCH(AF$5,'IND tech'!$L$3:$V$3,0))</f>
        <v>0.89</v>
      </c>
      <c r="AG164" s="91">
        <f>-AH164/(1+AH164)</f>
        <v>-0.2417055021371636</v>
      </c>
      <c r="AH164" s="91">
        <f>'401.c Post comb - Cement kiln'!$B$11*IND_CCS!AT164</f>
        <v>0.31874885393258429</v>
      </c>
      <c r="AJ164" s="91">
        <f>'401.c Post comb - Cement kiln'!$B$28*7.45*AT164</f>
        <v>8.5522651685393267</v>
      </c>
      <c r="AK164" s="91">
        <f>'401.c Post comb - Cement kiln'!$B$34*IND_CCS!AT164*7.45</f>
        <v>0.25656795505617974</v>
      </c>
      <c r="AL164" s="91">
        <f>$AM$8*'401.c Post comb - Cement kiln'!$B$35*7.45</f>
        <v>0.58735800000000005</v>
      </c>
      <c r="AM164" s="91">
        <f>8760*3.6/1000000</f>
        <v>3.1536000000000002E-2</v>
      </c>
      <c r="AR164" s="91">
        <f>Emissions!$C$11/AF164</f>
        <v>106.29213483146067</v>
      </c>
      <c r="AS164" s="91">
        <f>IF(RIGHT(H164,2)="HT",$AZ$4/$AZ$5,0)</f>
        <v>0</v>
      </c>
      <c r="AT164" s="91">
        <f>$AM$8*(SUM($AR164:$AS164))*1000/8760</f>
        <v>0.38265168539325844</v>
      </c>
    </row>
    <row r="165" spans="1:46" s="91" customFormat="1">
      <c r="A165" s="91" t="str">
        <f>A164</f>
        <v>INDGDRHCOAN1</v>
      </c>
      <c r="G165" s="91" t="s">
        <v>310</v>
      </c>
      <c r="J165" s="91">
        <v>2020</v>
      </c>
      <c r="U165" s="91">
        <f>AI165</f>
        <v>9.5662921348314625E-3</v>
      </c>
      <c r="AI165" s="91">
        <f>'401.c Post comb - Cement kiln'!$B$12*IND_CCS!AT164</f>
        <v>9.5662921348314625E-3</v>
      </c>
    </row>
    <row r="166" spans="1:46" s="91" customFormat="1">
      <c r="A166" s="91" t="str">
        <f>A165</f>
        <v>INDGDRHCOAN1</v>
      </c>
      <c r="C166" s="91" t="s">
        <v>785</v>
      </c>
      <c r="I166" s="91" t="str">
        <f>'IND tech'!$I$132</f>
        <v>INDGWH</v>
      </c>
      <c r="J166" s="91">
        <v>2020</v>
      </c>
      <c r="V166" s="91" cm="1">
        <f t="array" ref="V166">INDEX('IND tech'!$L$6:$V$182,MATCH($A164&amp;$J164,'IND tech'!$A$6:$A$182&amp;'IND tech'!$J$6:$J$182,0),MATCH(V$5,'IND tech'!$L$3:$V$3,0))</f>
        <v>0.10999999999999999</v>
      </c>
      <c r="Y166" s="82"/>
      <c r="Z166" s="82"/>
      <c r="AC166" s="82"/>
    </row>
    <row r="167" spans="1:46" s="91" customFormat="1">
      <c r="A167" s="91" t="str">
        <f>A166</f>
        <v>INDGDRHCOAN1</v>
      </c>
      <c r="I167" s="91" t="s">
        <v>596</v>
      </c>
      <c r="J167" s="91">
        <v>2020</v>
      </c>
      <c r="V167" s="91">
        <f>SUM(AR164:AS164)</f>
        <v>106.29213483146067</v>
      </c>
    </row>
    <row r="168" spans="1:46" s="91" customFormat="1">
      <c r="A168" s="91" t="str">
        <f>IF(C168&gt;0,LEFT(C168,12),A167)</f>
        <v>INDGDRHCOAN1</v>
      </c>
      <c r="F168" s="91" t="str">
        <f>F164</f>
        <v>INDCOA</v>
      </c>
      <c r="H168" s="91" t="str">
        <f>H164</f>
        <v>IGDRH</v>
      </c>
      <c r="J168" s="91">
        <v>2030</v>
      </c>
      <c r="L168" s="82">
        <f>AF168+AG168</f>
        <v>0.67400060887777624</v>
      </c>
      <c r="N168" s="383" cm="1">
        <f t="array" ref="N168">INDEX('IND tech'!$L$6:$V$182,MATCH($A168&amp;$J168,'IND tech'!$A$6:$A$182&amp;'IND tech'!$J$6:$J$182,0),MATCH(N$5,'IND tech'!$L$3:$V$3,0))+AJ168</f>
        <v>10.881903492312187</v>
      </c>
      <c r="O168" s="383" cm="1">
        <f t="array" ref="O168">INDEX('IND tech'!$L$6:$V$182,MATCH($A168&amp;$J168,'IND tech'!$A$6:$A$182&amp;'IND tech'!$J$6:$J$182,0),MATCH(O$5,'IND tech'!$L$3:$V$3,0))+AK168</f>
        <v>0.46522889438202253</v>
      </c>
      <c r="P168" s="383" cm="1">
        <f t="array" ref="P168">INDEX('IND tech'!$L$6:$V$182,MATCH($A168&amp;$J168,'IND tech'!$A$6:$A$182&amp;'IND tech'!$J$6:$J$182,0),MATCH(P$5,'IND tech'!$L$3:$V$3,0))+AL168</f>
        <v>4.5710385555555559</v>
      </c>
      <c r="W168" s="91">
        <v>3</v>
      </c>
      <c r="Y168" s="82">
        <f>-1*PMT($Y$3,M164,N168*1000000)/Q164*R164/1000000</f>
        <v>20.983745602672947</v>
      </c>
      <c r="Z168" s="82">
        <f>O168*1000000/Q164*R164/1000000</f>
        <v>14.014695892406182</v>
      </c>
      <c r="AA168" s="91">
        <f>SUMIFS('DMS marginal prices'!$G$8:$G$70,'DMS marginal prices'!$F$8:$F$70,J168,'DMS marginal prices'!$D$8:$D$70,F168)/L168+SUMIFS('DMS marginal prices'!$G$8:$G$70,'DMS marginal prices'!$F$8:$F$70,J169,'DMS marginal prices'!$D$8:$D$70,G169)*U169</f>
        <v>60.270053901133089</v>
      </c>
      <c r="AC168" s="82">
        <f>SUM(Y168:AB171)*1000/(V171)</f>
        <v>896.2892273005167</v>
      </c>
      <c r="AF168" s="82" cm="1">
        <f t="array" ref="AF168">INDEX('IND tech'!$L$6:$V$182,MATCH($A168&amp;$J168,'IND tech'!$A$6:$A$182&amp;'IND tech'!$J$6:$J$182,0),MATCH(AF$5,'IND tech'!$L$3:$V$3,0))</f>
        <v>0.89</v>
      </c>
      <c r="AG168" s="91">
        <f>-AH168/(1+AH168)</f>
        <v>-0.21599939112222374</v>
      </c>
      <c r="AH168" s="91">
        <f>'401.c Post comb - Cement kiln'!$D$11*IND_CCS!AT168</f>
        <v>0.27550921348314605</v>
      </c>
      <c r="AJ168" s="91">
        <f>'401.c Post comb - Cement kiln'!$D$28*7.45*AT168</f>
        <v>7.411963146067416</v>
      </c>
      <c r="AK168" s="91">
        <f>'401.c Post comb - Cement kiln'!$D$34*IND_CCS!AT168*7.45</f>
        <v>0.2223588943820225</v>
      </c>
      <c r="AL168" s="91">
        <f>$AM$8*'401.c Post comb - Cement kiln'!$D$35*7.45</f>
        <v>0.58735800000000005</v>
      </c>
      <c r="AR168" s="91">
        <f>Emissions!$C$11/AF168</f>
        <v>106.29213483146067</v>
      </c>
      <c r="AS168" s="91">
        <f>IF(RIGHT(H168,2)="HT",$AZ$4/$AZ$5,0)</f>
        <v>0</v>
      </c>
      <c r="AT168" s="91">
        <f>$AM$8*(SUM($AR168:$AS168))*1000/8760</f>
        <v>0.38265168539325844</v>
      </c>
    </row>
    <row r="169" spans="1:46" s="91" customFormat="1">
      <c r="A169" s="91" t="str">
        <f>A168</f>
        <v>INDGDRHCOAN1</v>
      </c>
      <c r="G169" s="91" t="s">
        <v>310</v>
      </c>
      <c r="J169" s="91">
        <v>2030</v>
      </c>
      <c r="U169" s="91">
        <f>AI169</f>
        <v>8.4183370786516856E-3</v>
      </c>
      <c r="AI169" s="91">
        <f>'401.c Post comb - Cement kiln'!$D$12*IND_CCS!AT168</f>
        <v>8.4183370786516856E-3</v>
      </c>
    </row>
    <row r="170" spans="1:46" s="91" customFormat="1">
      <c r="A170" s="91" t="str">
        <f>A169</f>
        <v>INDGDRHCOAN1</v>
      </c>
      <c r="C170" s="91" t="s">
        <v>785</v>
      </c>
      <c r="I170" s="91" t="str">
        <f>'IND tech'!$I$132</f>
        <v>INDGWH</v>
      </c>
      <c r="J170" s="91">
        <v>2030</v>
      </c>
      <c r="V170" s="91" cm="1">
        <f t="array" ref="V170">INDEX('IND tech'!$L$6:$V$182,MATCH($A168&amp;$J168,'IND tech'!$A$6:$A$182&amp;'IND tech'!$J$6:$J$182,0),MATCH(V$5,'IND tech'!$L$3:$V$3,0))</f>
        <v>0.10999999999999999</v>
      </c>
      <c r="Y170" s="82"/>
      <c r="Z170" s="82"/>
      <c r="AC170" s="82"/>
    </row>
    <row r="171" spans="1:46" s="91" customFormat="1">
      <c r="A171" s="91" t="str">
        <f>A170</f>
        <v>INDGDRHCOAN1</v>
      </c>
      <c r="I171" s="91" t="s">
        <v>596</v>
      </c>
      <c r="J171" s="91">
        <v>2030</v>
      </c>
      <c r="V171" s="91">
        <f>SUM(AR168:AS168)</f>
        <v>106.29213483146067</v>
      </c>
    </row>
    <row r="172" spans="1:46" s="91" customFormat="1">
      <c r="A172" s="91" t="str">
        <f>IF(C172&gt;0,LEFT(C172,12),A171)</f>
        <v>INDGDRHCOAN1</v>
      </c>
      <c r="F172" s="91" t="str">
        <f>F168</f>
        <v>INDCOA</v>
      </c>
      <c r="H172" s="91" t="str">
        <f>H168</f>
        <v>IGDRH</v>
      </c>
      <c r="J172" s="91">
        <v>2050</v>
      </c>
      <c r="L172" s="82">
        <f>AF172+AG172</f>
        <v>0.71192490175979339</v>
      </c>
      <c r="N172" s="383" cm="1">
        <f t="array" ref="N172">INDEX('IND tech'!$L$6:$V$182,MATCH($A172&amp;$J172,'IND tech'!$A$6:$A$182&amp;'IND tech'!$J$6:$J$182,0),MATCH(N$5,'IND tech'!$L$3:$V$3,0))+AJ172</f>
        <v>8.2999805538916416</v>
      </c>
      <c r="O172" s="383" cm="1">
        <f t="array" ref="O172">INDEX('IND tech'!$L$6:$V$182,MATCH($A172&amp;$J172,'IND tech'!$A$6:$A$182&amp;'IND tech'!$J$6:$J$182,0),MATCH(O$5,'IND tech'!$L$3:$V$3,0))+AK172</f>
        <v>0.37852745934065934</v>
      </c>
      <c r="P172" s="383" cm="1">
        <f t="array" ref="P172">INDEX('IND tech'!$L$6:$V$182,MATCH($A172&amp;$J172,'IND tech'!$A$6:$A$182&amp;'IND tech'!$J$6:$J$182,0),MATCH(P$5,'IND tech'!$L$3:$V$3,0))+AL172</f>
        <v>4.593802444444445</v>
      </c>
      <c r="W172" s="91">
        <v>3</v>
      </c>
      <c r="Y172" s="82">
        <f>-1*PMT($Y$3,M164,N172*1000000)/Q164*R164/1000000</f>
        <v>16.004983004401577</v>
      </c>
      <c r="Z172" s="82">
        <f>O172*1000000/Q164*R164/1000000</f>
        <v>11.402875646043451</v>
      </c>
      <c r="AA172" s="91">
        <f>SUMIFS('DMS marginal prices'!$G$8:$G$70,'DMS marginal prices'!$F$8:$F$70,J172,'DMS marginal prices'!$D$8:$D$70,F172)/L172+SUMIFS('DMS marginal prices'!$G$8:$G$70,'DMS marginal prices'!$F$8:$F$70,J173,'DMS marginal prices'!$D$8:$D$70,G173)*U173</f>
        <v>48.071394585309207</v>
      </c>
      <c r="AC172" s="82">
        <f>SUM(Y172:AB175)*1000/(V175)</f>
        <v>726.06892647501445</v>
      </c>
      <c r="AF172" s="82" cm="1">
        <f t="array" ref="AF172">INDEX('IND tech'!$L$6:$V$182,MATCH($A172&amp;$J172,'IND tech'!$A$6:$A$182&amp;'IND tech'!$J$6:$J$182,0),MATCH(AF$5,'IND tech'!$L$3:$V$3,0))</f>
        <v>0.91</v>
      </c>
      <c r="AG172" s="91">
        <f>-AH172/(1+AH172)</f>
        <v>-0.19807509824020661</v>
      </c>
      <c r="AH172" s="91">
        <f>'401.c Post comb - Cement kiln'!$F$11*IND_CCS!AT172</f>
        <v>0.24699956043956042</v>
      </c>
      <c r="AJ172" s="91">
        <f>'401.c Post comb - Cement kiln'!$F$28*7.45*AT172</f>
        <v>5.0185819780219774</v>
      </c>
      <c r="AK172" s="91">
        <f>'401.c Post comb - Cement kiln'!$F$34*IND_CCS!AT172*7.45</f>
        <v>0.15055745934065931</v>
      </c>
      <c r="AL172" s="91">
        <f>$AM$8*'401.c Post comb - Cement kiln'!$F$35*7.45</f>
        <v>0.58735800000000005</v>
      </c>
      <c r="AR172" s="91">
        <f>Emissions!$C$11/AF172</f>
        <v>103.95604395604394</v>
      </c>
      <c r="AS172" s="91">
        <f>IF(RIGHT(H172,2)="HT",$AZ$4/$AZ$5,0)</f>
        <v>0</v>
      </c>
      <c r="AT172" s="91">
        <f>$AM$8*(SUM($AR172:$AS172))*1000/8760</f>
        <v>0.3742417582417582</v>
      </c>
    </row>
    <row r="173" spans="1:46" s="91" customFormat="1">
      <c r="A173" s="91" t="str">
        <f>A172</f>
        <v>INDGDRHCOAN1</v>
      </c>
      <c r="G173" s="91" t="s">
        <v>310</v>
      </c>
      <c r="J173" s="91">
        <v>2050</v>
      </c>
      <c r="U173" s="91">
        <f>AI173</f>
        <v>6.7363516483516473E-3</v>
      </c>
      <c r="AI173" s="91">
        <f>'401.c Post comb - Cement kiln'!$F$12*IND_CCS!AT172</f>
        <v>6.7363516483516473E-3</v>
      </c>
    </row>
    <row r="174" spans="1:46" s="91" customFormat="1">
      <c r="A174" s="91" t="str">
        <f>A173</f>
        <v>INDGDRHCOAN1</v>
      </c>
      <c r="C174" s="91" t="s">
        <v>785</v>
      </c>
      <c r="I174" s="91" t="str">
        <f>'IND tech'!$I$132</f>
        <v>INDGWH</v>
      </c>
      <c r="J174" s="91">
        <v>2050</v>
      </c>
      <c r="V174" s="91" cm="1">
        <f t="array" ref="V174">INDEX('IND tech'!$L$6:$V$182,MATCH($A172&amp;$J172,'IND tech'!$A$6:$A$182&amp;'IND tech'!$J$6:$J$182,0),MATCH(V$5,'IND tech'!$L$3:$V$3,0))</f>
        <v>8.9999999999999969E-2</v>
      </c>
      <c r="Y174" s="82"/>
      <c r="Z174" s="82"/>
      <c r="AC174" s="82"/>
    </row>
    <row r="175" spans="1:46" s="91" customFormat="1">
      <c r="A175" s="91" t="str">
        <f>A174</f>
        <v>INDGDRHCOAN1</v>
      </c>
      <c r="I175" s="91" t="s">
        <v>596</v>
      </c>
      <c r="J175" s="91">
        <v>2050</v>
      </c>
      <c r="V175" s="91">
        <f>SUM(AR172:AS172)</f>
        <v>103.95604395604394</v>
      </c>
    </row>
    <row r="176" spans="1:46" s="91" customFormat="1">
      <c r="A176" s="91" t="str">
        <f>IF(C176&gt;0,LEFT(C176,12),A175)</f>
        <v>INDGDMTCOAN2</v>
      </c>
      <c r="C176" s="91" t="str">
        <f>'IND tech'!D174&amp;"CCS"</f>
        <v>INDGDMTCOAN2CCS</v>
      </c>
      <c r="D176" s="91" t="str">
        <f>'IND tech'!E174&amp;"CCS"</f>
        <v>Industrial heating technology Glass &amp; Concrete MT - Coal boiler (Hot Water) - new 2CCS</v>
      </c>
      <c r="E176" s="91" t="s">
        <v>791</v>
      </c>
      <c r="F176" s="91" t="str">
        <f>'IND tech'!$G$165</f>
        <v>INDCOA</v>
      </c>
      <c r="H176" s="91" t="str">
        <f>"IGD"&amp;MID(C176,6,2)</f>
        <v>IGDMT</v>
      </c>
      <c r="J176" s="91">
        <v>2020</v>
      </c>
      <c r="K176" s="91">
        <v>2020</v>
      </c>
      <c r="L176" s="82">
        <f>AF176+AG176</f>
        <v>0.64829449786283644</v>
      </c>
      <c r="M176" s="91" cm="1">
        <f t="array" ref="M176">INDEX('IND tech'!$L$6:$V$182,MATCH($A176&amp;$J176,'IND tech'!$A$6:$A$182&amp;'IND tech'!$J$6:$J$182,0),MATCH(M$5,'IND tech'!$L$3:$V$3,0))</f>
        <v>25</v>
      </c>
      <c r="N176" s="383" cm="1">
        <f t="array" ref="N176">INDEX('IND tech'!$L$6:$V$182,MATCH($A176&amp;$J176,'IND tech'!$A$6:$A$182&amp;'IND tech'!$J$6:$J$182,0),MATCH(N$5,'IND tech'!$L$3:$V$3,0))+AJ176</f>
        <v>12.277265168539326</v>
      </c>
      <c r="O176" s="383" cm="1">
        <f t="array" ref="O176">INDEX('IND tech'!$L$6:$V$182,MATCH($A176&amp;$J176,'IND tech'!$A$6:$A$182&amp;'IND tech'!$J$6:$J$182,0),MATCH(O$5,'IND tech'!$L$3:$V$3,0))+AK176</f>
        <v>0.50763295505617978</v>
      </c>
      <c r="P176" s="383" cm="1">
        <f t="array" ref="P176">INDEX('IND tech'!$L$6:$V$182,MATCH($A176&amp;$J176,'IND tech'!$A$6:$A$182&amp;'IND tech'!$J$6:$J$182,0),MATCH(P$5,'IND tech'!$L$3:$V$3,0))+AL176</f>
        <v>4.5255107777777779</v>
      </c>
      <c r="Q176" s="91" cm="1">
        <f t="array" ref="Q176">INDEX('IND tech'!$L$6:$V$182,MATCH($A176&amp;$J176,'IND tech'!$A$6:$A$182&amp;'IND tech'!$J$6:$J$182,0),MATCH(Q$5,'IND tech'!$L$3:$V$3,0))</f>
        <v>3.1536000000000002E-2</v>
      </c>
      <c r="R176" s="91">
        <v>0.95</v>
      </c>
      <c r="S176" s="91" cm="1">
        <f t="array" ref="S176">INDEX('IND tech'!$L$6:$V$182,MATCH($A176&amp;$J176,'IND tech'!$A$6:$A$182&amp;'IND tech'!$J$6:$J$182,0),MATCH(S$5,'IND tech'!$L$3:$V$3,0))</f>
        <v>0.5</v>
      </c>
      <c r="W176" s="91">
        <v>3</v>
      </c>
      <c r="Y176" s="82">
        <f>-1*PMT($Y$3,M176,N176*1000000)/Q176*R176/1000000</f>
        <v>23.674443462505575</v>
      </c>
      <c r="Z176" s="82">
        <f>O176*1000000/Q176*R176/1000000</f>
        <v>15.292088638488419</v>
      </c>
      <c r="AA176" s="91">
        <f>SUMIFS('DMS marginal prices'!$G$8:$G$70,'DMS marginal prices'!$F$8:$F$70,J176,'DMS marginal prices'!$D$8:$D$70,F176)/L176+SUMIFS('DMS marginal prices'!$G$8:$G$70,'DMS marginal prices'!$F$8:$F$70,J177,'DMS marginal prices'!$D$8:$D$70,G177)*U177</f>
        <v>38.986097089358509</v>
      </c>
      <c r="AC176" s="82">
        <f>SUM(Y176:AB179)*1000/(V179)</f>
        <v>733.38097229824234</v>
      </c>
      <c r="AF176" s="82" cm="1">
        <f t="array" ref="AF176">INDEX('IND tech'!$L$6:$V$182,MATCH($A176&amp;$J176,'IND tech'!$A$6:$A$182&amp;'IND tech'!$J$6:$J$182,0),MATCH(AF$5,'IND tech'!$L$3:$V$3,0))</f>
        <v>0.89</v>
      </c>
      <c r="AG176" s="91">
        <f>-AH176/(1+AH176)</f>
        <v>-0.2417055021371636</v>
      </c>
      <c r="AH176" s="91">
        <f>'401.c Post comb - Cement kiln'!$B$11*IND_CCS!AT176</f>
        <v>0.31874885393258429</v>
      </c>
      <c r="AJ176" s="91">
        <f>'401.c Post comb - Cement kiln'!$B$28*7.45*AT176</f>
        <v>8.5522651685393267</v>
      </c>
      <c r="AK176" s="91">
        <f>'401.c Post comb - Cement kiln'!$B$34*IND_CCS!AT176*7.45</f>
        <v>0.25656795505617974</v>
      </c>
      <c r="AL176" s="91">
        <f>$AM$8*'401.c Post comb - Cement kiln'!$B$35*7.45</f>
        <v>0.58735800000000005</v>
      </c>
      <c r="AM176" s="91">
        <f>8760*3.6/1000000</f>
        <v>3.1536000000000002E-2</v>
      </c>
      <c r="AR176" s="91">
        <f>Emissions!$C$11/AF176</f>
        <v>106.29213483146067</v>
      </c>
      <c r="AS176" s="91">
        <f>IF(RIGHT(H176,2)="HT",$AZ$4/$AZ$5,0)</f>
        <v>0</v>
      </c>
      <c r="AT176" s="91">
        <f>$AM$8*(SUM($AR176:$AS176))*1000/8760</f>
        <v>0.38265168539325844</v>
      </c>
    </row>
    <row r="177" spans="1:46" s="91" customFormat="1">
      <c r="A177" s="91" t="str">
        <f>A176</f>
        <v>INDGDMTCOAN2</v>
      </c>
      <c r="G177" s="91" t="s">
        <v>310</v>
      </c>
      <c r="J177" s="91">
        <v>2020</v>
      </c>
      <c r="U177" s="91">
        <f>AI177</f>
        <v>9.5662921348314625E-3</v>
      </c>
      <c r="AI177" s="91">
        <f>'401.c Post comb - Cement kiln'!$B$12*IND_CCS!AT176</f>
        <v>9.5662921348314625E-3</v>
      </c>
    </row>
    <row r="178" spans="1:46" s="91" customFormat="1">
      <c r="A178" s="91" t="str">
        <f>A177</f>
        <v>INDGDMTCOAN2</v>
      </c>
      <c r="C178" s="91" t="s">
        <v>785</v>
      </c>
      <c r="I178" s="91" t="str">
        <f>'IND tech'!$I$132</f>
        <v>INDGWH</v>
      </c>
      <c r="J178" s="91">
        <v>2020</v>
      </c>
      <c r="V178" s="91" cm="1">
        <f t="array" ref="V178">INDEX('IND tech'!$L$6:$V$182,MATCH($A176&amp;$J176,'IND tech'!$A$6:$A$182&amp;'IND tech'!$J$6:$J$182,0),MATCH(V$5,'IND tech'!$L$3:$V$3,0))</f>
        <v>0.31</v>
      </c>
      <c r="Y178" s="82"/>
      <c r="Z178" s="82"/>
      <c r="AC178" s="82"/>
    </row>
    <row r="179" spans="1:46" s="91" customFormat="1">
      <c r="A179" s="91" t="str">
        <f>A178</f>
        <v>INDGDMTCOAN2</v>
      </c>
      <c r="I179" s="91" t="s">
        <v>596</v>
      </c>
      <c r="J179" s="91">
        <v>2020</v>
      </c>
      <c r="V179" s="91">
        <f>SUM(AR176:AS176)</f>
        <v>106.29213483146067</v>
      </c>
    </row>
    <row r="180" spans="1:46" s="91" customFormat="1">
      <c r="A180" s="91" t="str">
        <f>IF(C180&gt;0,LEFT(C180,12),A179)</f>
        <v>INDGDMTCOAN2</v>
      </c>
      <c r="F180" s="91" t="str">
        <f>F176</f>
        <v>INDCOA</v>
      </c>
      <c r="H180" s="91" t="str">
        <f>H176</f>
        <v>IGDMT</v>
      </c>
      <c r="J180" s="91">
        <v>2030</v>
      </c>
      <c r="L180" s="82">
        <f>AF180+AG180</f>
        <v>0.67400060887777624</v>
      </c>
      <c r="N180" s="383" cm="1">
        <f t="array" ref="N180">INDEX('IND tech'!$L$6:$V$182,MATCH($A180&amp;$J180,'IND tech'!$A$6:$A$182&amp;'IND tech'!$J$6:$J$182,0),MATCH(N$5,'IND tech'!$L$3:$V$3,0))+AJ180</f>
        <v>11.136963146067416</v>
      </c>
      <c r="O180" s="383" cm="1">
        <f t="array" ref="O180">INDEX('IND tech'!$L$6:$V$182,MATCH($A180&amp;$J180,'IND tech'!$A$6:$A$182&amp;'IND tech'!$J$6:$J$182,0),MATCH(O$5,'IND tech'!$L$3:$V$3,0))+AK180</f>
        <v>0.46522889438202253</v>
      </c>
      <c r="P180" s="383" cm="1">
        <f t="array" ref="P180">INDEX('IND tech'!$L$6:$V$182,MATCH($A180&amp;$J180,'IND tech'!$A$6:$A$182&amp;'IND tech'!$J$6:$J$182,0),MATCH(P$5,'IND tech'!$L$3:$V$3,0))+AL180</f>
        <v>4.5710385555555559</v>
      </c>
      <c r="W180" s="91">
        <v>3</v>
      </c>
      <c r="Y180" s="82">
        <f>-1*PMT($Y$3,M176,N180*1000000)/Q176*R176/1000000</f>
        <v>21.475581143365503</v>
      </c>
      <c r="Z180" s="82">
        <f>O180*1000000/Q176*R176/1000000</f>
        <v>14.014695892406182</v>
      </c>
      <c r="AA180" s="91">
        <f>SUMIFS('DMS marginal prices'!$G$8:$G$70,'DMS marginal prices'!$F$8:$F$70,J180,'DMS marginal prices'!$D$8:$D$70,F180)/L180+SUMIFS('DMS marginal prices'!$G$8:$G$70,'DMS marginal prices'!$F$8:$F$70,J181,'DMS marginal prices'!$D$8:$D$70,G181)*U181</f>
        <v>60.270053901133089</v>
      </c>
      <c r="AC180" s="82">
        <f>SUM(Y180:AB183)*1000/(V183)</f>
        <v>900.91643270449526</v>
      </c>
      <c r="AF180" s="82" cm="1">
        <f t="array" ref="AF180">INDEX('IND tech'!$L$6:$V$182,MATCH($A180&amp;$J180,'IND tech'!$A$6:$A$182&amp;'IND tech'!$J$6:$J$182,0),MATCH(AF$5,'IND tech'!$L$3:$V$3,0))</f>
        <v>0.89</v>
      </c>
      <c r="AG180" s="91">
        <f>-AH180/(1+AH180)</f>
        <v>-0.21599939112222374</v>
      </c>
      <c r="AH180" s="91">
        <f>'401.c Post comb - Cement kiln'!$D$11*IND_CCS!AT180</f>
        <v>0.27550921348314605</v>
      </c>
      <c r="AJ180" s="91">
        <f>'401.c Post comb - Cement kiln'!$D$28*7.45*AT180</f>
        <v>7.411963146067416</v>
      </c>
      <c r="AK180" s="91">
        <f>'401.c Post comb - Cement kiln'!$D$34*IND_CCS!AT180*7.45</f>
        <v>0.2223588943820225</v>
      </c>
      <c r="AL180" s="91">
        <f>$AM$8*'401.c Post comb - Cement kiln'!$D$35*7.45</f>
        <v>0.58735800000000005</v>
      </c>
      <c r="AR180" s="91">
        <f>Emissions!$C$11/AF180</f>
        <v>106.29213483146067</v>
      </c>
      <c r="AS180" s="91">
        <f>IF(RIGHT(H180,2)="HT",$AZ$4/$AZ$5,0)</f>
        <v>0</v>
      </c>
      <c r="AT180" s="91">
        <f>$AM$8*(SUM($AR180:$AS180))*1000/8760</f>
        <v>0.38265168539325844</v>
      </c>
    </row>
    <row r="181" spans="1:46" s="91" customFormat="1">
      <c r="A181" s="91" t="str">
        <f>A180</f>
        <v>INDGDMTCOAN2</v>
      </c>
      <c r="G181" s="91" t="s">
        <v>310</v>
      </c>
      <c r="J181" s="91">
        <v>2030</v>
      </c>
      <c r="U181" s="91">
        <f>AI181</f>
        <v>8.4183370786516856E-3</v>
      </c>
      <c r="AI181" s="91">
        <f>'401.c Post comb - Cement kiln'!$D$12*IND_CCS!AT180</f>
        <v>8.4183370786516856E-3</v>
      </c>
    </row>
    <row r="182" spans="1:46" s="91" customFormat="1">
      <c r="A182" s="91" t="str">
        <f>A181</f>
        <v>INDGDMTCOAN2</v>
      </c>
      <c r="C182" s="91" t="s">
        <v>785</v>
      </c>
      <c r="I182" s="91" t="str">
        <f>'IND tech'!$I$132</f>
        <v>INDGWH</v>
      </c>
      <c r="J182" s="91">
        <v>2030</v>
      </c>
      <c r="V182" s="91" cm="1">
        <f t="array" ref="V182">INDEX('IND tech'!$L$6:$V$182,MATCH($A180&amp;$J180,'IND tech'!$A$6:$A$182&amp;'IND tech'!$J$6:$J$182,0),MATCH(V$5,'IND tech'!$L$3:$V$3,0))</f>
        <v>0.31</v>
      </c>
      <c r="Y182" s="82"/>
      <c r="Z182" s="82"/>
      <c r="AC182" s="82"/>
    </row>
    <row r="183" spans="1:46" s="91" customFormat="1">
      <c r="A183" s="91" t="str">
        <f>A182</f>
        <v>INDGDMTCOAN2</v>
      </c>
      <c r="I183" s="91" t="s">
        <v>596</v>
      </c>
      <c r="J183" s="91">
        <v>2030</v>
      </c>
      <c r="V183" s="91">
        <f>SUM(AR180:AS180)</f>
        <v>106.29213483146067</v>
      </c>
    </row>
    <row r="184" spans="1:46" s="91" customFormat="1">
      <c r="A184" s="91" t="str">
        <f>IF(C184&gt;0,LEFT(C184,12),A183)</f>
        <v>INDGDMTCOAN2</v>
      </c>
      <c r="F184" s="91" t="str">
        <f>F180</f>
        <v>INDCOA</v>
      </c>
      <c r="H184" s="91" t="str">
        <f>H180</f>
        <v>IGDMT</v>
      </c>
      <c r="J184" s="91">
        <v>2050</v>
      </c>
      <c r="L184" s="82">
        <f>AF184+AG184</f>
        <v>0.71192490175979339</v>
      </c>
      <c r="N184" s="383" cm="1">
        <f t="array" ref="N184">INDEX('IND tech'!$L$6:$V$182,MATCH($A184&amp;$J184,'IND tech'!$A$6:$A$182&amp;'IND tech'!$J$6:$J$182,0),MATCH(N$5,'IND tech'!$L$3:$V$3,0))+AJ184</f>
        <v>8.743581978021977</v>
      </c>
      <c r="O184" s="383" cm="1">
        <f t="array" ref="O184">INDEX('IND tech'!$L$6:$V$182,MATCH($A184&amp;$J184,'IND tech'!$A$6:$A$182&amp;'IND tech'!$J$6:$J$182,0),MATCH(O$5,'IND tech'!$L$3:$V$3,0))+AK184</f>
        <v>0.37852745934065934</v>
      </c>
      <c r="P184" s="383" cm="1">
        <f t="array" ref="P184">INDEX('IND tech'!$L$6:$V$182,MATCH($A184&amp;$J184,'IND tech'!$A$6:$A$182&amp;'IND tech'!$J$6:$J$182,0),MATCH(P$5,'IND tech'!$L$3:$V$3,0))+AL184</f>
        <v>4.593802444444445</v>
      </c>
      <c r="W184" s="91">
        <v>3</v>
      </c>
      <c r="Y184" s="82">
        <f>-1*PMT($Y$3,M176,N184*1000000)/Q176*R176/1000000</f>
        <v>16.86038660539019</v>
      </c>
      <c r="Z184" s="82">
        <f>O184*1000000/Q176*R176/1000000</f>
        <v>11.402875646043451</v>
      </c>
      <c r="AA184" s="91">
        <f>SUMIFS('DMS marginal prices'!$G$8:$G$70,'DMS marginal prices'!$F$8:$F$70,J184,'DMS marginal prices'!$D$8:$D$70,F184)/L184+SUMIFS('DMS marginal prices'!$G$8:$G$70,'DMS marginal prices'!$F$8:$F$70,J185,'DMS marginal prices'!$D$8:$D$70,G185)*U185</f>
        <v>48.071394585309207</v>
      </c>
      <c r="AC184" s="82">
        <f>SUM(Y184:AB187)*1000/(V187)</f>
        <v>734.29743891581404</v>
      </c>
      <c r="AF184" s="82" cm="1">
        <f t="array" ref="AF184">INDEX('IND tech'!$L$6:$V$182,MATCH($A184&amp;$J184,'IND tech'!$A$6:$A$182&amp;'IND tech'!$J$6:$J$182,0),MATCH(AF$5,'IND tech'!$L$3:$V$3,0))</f>
        <v>0.91</v>
      </c>
      <c r="AG184" s="91">
        <f>-AH184/(1+AH184)</f>
        <v>-0.19807509824020661</v>
      </c>
      <c r="AH184" s="91">
        <f>'401.c Post comb - Cement kiln'!$F$11*IND_CCS!AT184</f>
        <v>0.24699956043956042</v>
      </c>
      <c r="AJ184" s="91">
        <f>'401.c Post comb - Cement kiln'!$F$28*7.45*AT184</f>
        <v>5.0185819780219774</v>
      </c>
      <c r="AK184" s="91">
        <f>'401.c Post comb - Cement kiln'!$F$34*IND_CCS!AT184*7.45</f>
        <v>0.15055745934065931</v>
      </c>
      <c r="AL184" s="91">
        <f>$AM$8*'401.c Post comb - Cement kiln'!$F$35*7.45</f>
        <v>0.58735800000000005</v>
      </c>
      <c r="AR184" s="91">
        <f>Emissions!$C$11/AF184</f>
        <v>103.95604395604394</v>
      </c>
      <c r="AS184" s="91">
        <f>IF(RIGHT(H184,2)="HT",$AZ$4/$AZ$5,0)</f>
        <v>0</v>
      </c>
      <c r="AT184" s="91">
        <f>$AM$8*(SUM($AR184:$AS184))*1000/8760</f>
        <v>0.3742417582417582</v>
      </c>
    </row>
    <row r="185" spans="1:46" s="91" customFormat="1">
      <c r="A185" s="91" t="str">
        <f>A184</f>
        <v>INDGDMTCOAN2</v>
      </c>
      <c r="G185" s="91" t="s">
        <v>310</v>
      </c>
      <c r="J185" s="91">
        <v>2050</v>
      </c>
      <c r="U185" s="91">
        <f>AI185</f>
        <v>6.7363516483516473E-3</v>
      </c>
      <c r="AI185" s="91">
        <f>'401.c Post comb - Cement kiln'!$F$12*IND_CCS!AT184</f>
        <v>6.7363516483516473E-3</v>
      </c>
    </row>
    <row r="186" spans="1:46" s="91" customFormat="1">
      <c r="A186" s="91" t="str">
        <f>A185</f>
        <v>INDGDMTCOAN2</v>
      </c>
      <c r="C186" s="91" t="s">
        <v>785</v>
      </c>
      <c r="I186" s="91" t="str">
        <f>'IND tech'!$I$132</f>
        <v>INDGWH</v>
      </c>
      <c r="J186" s="91">
        <v>2050</v>
      </c>
      <c r="V186" s="91" cm="1">
        <f t="array" ref="V186">INDEX('IND tech'!$L$6:$V$182,MATCH($A184&amp;$J184,'IND tech'!$A$6:$A$182&amp;'IND tech'!$J$6:$J$182,0),MATCH(V$5,'IND tech'!$L$3:$V$3,0))</f>
        <v>0.28999999999999998</v>
      </c>
      <c r="Y186" s="82"/>
      <c r="Z186" s="82"/>
      <c r="AC186" s="82"/>
    </row>
    <row r="187" spans="1:46" s="91" customFormat="1">
      <c r="A187" s="91" t="str">
        <f>A186</f>
        <v>INDGDMTCOAN2</v>
      </c>
      <c r="I187" s="91" t="s">
        <v>596</v>
      </c>
      <c r="J187" s="91">
        <v>2050</v>
      </c>
      <c r="V187" s="91">
        <f>SUM(AR184:AS184)</f>
        <v>103.95604395604394</v>
      </c>
    </row>
    <row r="188" spans="1:46" s="91" customFormat="1">
      <c r="A188" s="91" t="str">
        <f>IF(C188&gt;0,LEFT(C188,12),A187)</f>
        <v>INDGDRHCOAN2</v>
      </c>
      <c r="C188" s="91" t="str">
        <f>'IND tech'!D177&amp;"CCS"</f>
        <v>INDGDRHCOAN2CCS</v>
      </c>
      <c r="D188" s="91" t="str">
        <f>'IND tech'!E177&amp;"CCS"</f>
        <v>Industrial heating technology Glass &amp; Concrete RH - Coal boiler (Hot Water) - new 2CCS</v>
      </c>
      <c r="E188" s="91" t="s">
        <v>791</v>
      </c>
      <c r="F188" s="91" t="str">
        <f>'IND tech'!$G$165</f>
        <v>INDCOA</v>
      </c>
      <c r="H188" s="91" t="str">
        <f>"IGD"&amp;MID(C188,6,2)</f>
        <v>IGDRH</v>
      </c>
      <c r="J188" s="91">
        <v>2020</v>
      </c>
      <c r="K188" s="91">
        <v>2020</v>
      </c>
      <c r="L188" s="82">
        <f>AF188+AG188</f>
        <v>0.64829449786283644</v>
      </c>
      <c r="M188" s="91" cm="1">
        <f t="array" ref="M188">INDEX('IND tech'!$L$6:$V$182,MATCH($A188&amp;$J188,'IND tech'!$A$6:$A$182&amp;'IND tech'!$J$6:$J$182,0),MATCH(M$5,'IND tech'!$L$3:$V$3,0))</f>
        <v>25</v>
      </c>
      <c r="N188" s="383" cm="1">
        <f t="array" ref="N188">INDEX('IND tech'!$L$6:$V$182,MATCH($A188&amp;$J188,'IND tech'!$A$6:$A$182&amp;'IND tech'!$J$6:$J$182,0),MATCH(N$5,'IND tech'!$L$3:$V$3,0))+AJ188</f>
        <v>12.277265168539326</v>
      </c>
      <c r="O188" s="383" cm="1">
        <f t="array" ref="O188">INDEX('IND tech'!$L$6:$V$182,MATCH($A188&amp;$J188,'IND tech'!$A$6:$A$182&amp;'IND tech'!$J$6:$J$182,0),MATCH(O$5,'IND tech'!$L$3:$V$3,0))+AK188</f>
        <v>0.50763295505617978</v>
      </c>
      <c r="P188" s="383" cm="1">
        <f t="array" ref="P188">INDEX('IND tech'!$L$6:$V$182,MATCH($A188&amp;$J188,'IND tech'!$A$6:$A$182&amp;'IND tech'!$J$6:$J$182,0),MATCH(P$5,'IND tech'!$L$3:$V$3,0))+AL188</f>
        <v>4.5255107777777779</v>
      </c>
      <c r="Q188" s="91" cm="1">
        <f t="array" ref="Q188">INDEX('IND tech'!$L$6:$V$182,MATCH($A188&amp;$J188,'IND tech'!$A$6:$A$182&amp;'IND tech'!$J$6:$J$182,0),MATCH(Q$5,'IND tech'!$L$3:$V$3,0))</f>
        <v>3.1536000000000002E-2</v>
      </c>
      <c r="R188" s="91">
        <v>0.95</v>
      </c>
      <c r="S188" s="91" cm="1">
        <f t="array" ref="S188">INDEX('IND tech'!$L$6:$V$182,MATCH($A188&amp;$J188,'IND tech'!$A$6:$A$182&amp;'IND tech'!$J$6:$J$182,0),MATCH(S$5,'IND tech'!$L$3:$V$3,0))</f>
        <v>1</v>
      </c>
      <c r="W188" s="91">
        <v>3</v>
      </c>
      <c r="Y188" s="82">
        <f>-1*PMT($Y$3,M188,N188*1000000)/Q188*R188/1000000</f>
        <v>23.674443462505575</v>
      </c>
      <c r="Z188" s="82">
        <f>O188*1000000/Q188*R188/1000000</f>
        <v>15.292088638488419</v>
      </c>
      <c r="AA188" s="91">
        <f>SUMIFS('DMS marginal prices'!$G$8:$G$70,'DMS marginal prices'!$F$8:$F$70,J188,'DMS marginal prices'!$D$8:$D$70,F188)/L188+SUMIFS('DMS marginal prices'!$G$8:$G$70,'DMS marginal prices'!$F$8:$F$70,J189,'DMS marginal prices'!$D$8:$D$70,G189)*U189</f>
        <v>38.986097089358509</v>
      </c>
      <c r="AC188" s="82">
        <f>SUM(Y188:AB191)*1000/(V191)</f>
        <v>733.38097229824234</v>
      </c>
      <c r="AF188" s="82" cm="1">
        <f t="array" ref="AF188">INDEX('IND tech'!$L$6:$V$182,MATCH($A188&amp;$J188,'IND tech'!$A$6:$A$182&amp;'IND tech'!$J$6:$J$182,0),MATCH(AF$5,'IND tech'!$L$3:$V$3,0))</f>
        <v>0.89</v>
      </c>
      <c r="AG188" s="91">
        <f>-AH188/(1+AH188)</f>
        <v>-0.2417055021371636</v>
      </c>
      <c r="AH188" s="91">
        <f>'401.c Post comb - Cement kiln'!$B$11*IND_CCS!AT188</f>
        <v>0.31874885393258429</v>
      </c>
      <c r="AJ188" s="91">
        <f>'401.c Post comb - Cement kiln'!$B$28*7.45*AT188</f>
        <v>8.5522651685393267</v>
      </c>
      <c r="AK188" s="91">
        <f>'401.c Post comb - Cement kiln'!$B$34*IND_CCS!AT188*7.45</f>
        <v>0.25656795505617974</v>
      </c>
      <c r="AL188" s="91">
        <f>$AM$8*'401.c Post comb - Cement kiln'!$B$35*7.45</f>
        <v>0.58735800000000005</v>
      </c>
      <c r="AM188" s="91">
        <f>8760*3.6/1000000</f>
        <v>3.1536000000000002E-2</v>
      </c>
      <c r="AR188" s="91">
        <f>Emissions!$C$11/AF188</f>
        <v>106.29213483146067</v>
      </c>
      <c r="AS188" s="91">
        <f>IF(RIGHT(H188,2)="HT",$AZ$4/$AZ$5,0)</f>
        <v>0</v>
      </c>
      <c r="AT188" s="91">
        <f>$AM$8*(SUM($AR188:$AS188))*1000/8760</f>
        <v>0.38265168539325844</v>
      </c>
    </row>
    <row r="189" spans="1:46" s="91" customFormat="1">
      <c r="A189" s="91" t="str">
        <f>A188</f>
        <v>INDGDRHCOAN2</v>
      </c>
      <c r="G189" s="91" t="s">
        <v>310</v>
      </c>
      <c r="J189" s="91">
        <v>2020</v>
      </c>
      <c r="U189" s="91">
        <f>AI189</f>
        <v>9.5662921348314625E-3</v>
      </c>
      <c r="AI189" s="91">
        <f>'401.c Post comb - Cement kiln'!$B$12*IND_CCS!AT188</f>
        <v>9.5662921348314625E-3</v>
      </c>
    </row>
    <row r="190" spans="1:46" s="91" customFormat="1">
      <c r="A190" s="91" t="str">
        <f>A189</f>
        <v>INDGDRHCOAN2</v>
      </c>
      <c r="C190" s="91" t="s">
        <v>785</v>
      </c>
      <c r="I190" s="91" t="str">
        <f>'IND tech'!$I$132</f>
        <v>INDGWH</v>
      </c>
      <c r="J190" s="91">
        <v>2020</v>
      </c>
      <c r="V190" s="91" cm="1">
        <f t="array" ref="V190">INDEX('IND tech'!$L$6:$V$182,MATCH($A188&amp;$J188,'IND tech'!$A$6:$A$182&amp;'IND tech'!$J$6:$J$182,0),MATCH(V$5,'IND tech'!$L$3:$V$3,0))</f>
        <v>0.10999999999999999</v>
      </c>
      <c r="Y190" s="82"/>
      <c r="Z190" s="82"/>
      <c r="AC190" s="82"/>
    </row>
    <row r="191" spans="1:46" s="91" customFormat="1">
      <c r="A191" s="91" t="str">
        <f>A190</f>
        <v>INDGDRHCOAN2</v>
      </c>
      <c r="I191" s="91" t="s">
        <v>596</v>
      </c>
      <c r="J191" s="91">
        <v>2020</v>
      </c>
      <c r="V191" s="91">
        <f>SUM(AR188:AS188)</f>
        <v>106.29213483146067</v>
      </c>
    </row>
    <row r="192" spans="1:46" s="91" customFormat="1">
      <c r="A192" s="91" t="str">
        <f>IF(C192&gt;0,LEFT(C192,12),A191)</f>
        <v>INDGDRHCOAN2</v>
      </c>
      <c r="F192" s="91" t="str">
        <f>F188</f>
        <v>INDCOA</v>
      </c>
      <c r="H192" s="91" t="str">
        <f>H188</f>
        <v>IGDRH</v>
      </c>
      <c r="J192" s="91">
        <v>2030</v>
      </c>
      <c r="L192" s="82">
        <f>AF192+AG192</f>
        <v>0.67400060887777624</v>
      </c>
      <c r="N192" s="383" cm="1">
        <f t="array" ref="N192">INDEX('IND tech'!$L$6:$V$182,MATCH($A192&amp;$J192,'IND tech'!$A$6:$A$182&amp;'IND tech'!$J$6:$J$182,0),MATCH(N$5,'IND tech'!$L$3:$V$3,0))+AJ192</f>
        <v>11.136963146067416</v>
      </c>
      <c r="O192" s="383" cm="1">
        <f t="array" ref="O192">INDEX('IND tech'!$L$6:$V$182,MATCH($A192&amp;$J192,'IND tech'!$A$6:$A$182&amp;'IND tech'!$J$6:$J$182,0),MATCH(O$5,'IND tech'!$L$3:$V$3,0))+AK192</f>
        <v>0.46522889438202253</v>
      </c>
      <c r="P192" s="383" cm="1">
        <f t="array" ref="P192">INDEX('IND tech'!$L$6:$V$182,MATCH($A192&amp;$J192,'IND tech'!$A$6:$A$182&amp;'IND tech'!$J$6:$J$182,0),MATCH(P$5,'IND tech'!$L$3:$V$3,0))+AL192</f>
        <v>4.5710385555555559</v>
      </c>
      <c r="W192" s="91">
        <v>3</v>
      </c>
      <c r="Y192" s="82">
        <f>-1*PMT($Y$3,M188,N192*1000000)/Q188*R188/1000000</f>
        <v>21.475581143365503</v>
      </c>
      <c r="Z192" s="82">
        <f>O192*1000000/Q188*R188/1000000</f>
        <v>14.014695892406182</v>
      </c>
      <c r="AA192" s="91">
        <f>SUMIFS('DMS marginal prices'!$G$8:$G$70,'DMS marginal prices'!$F$8:$F$70,J192,'DMS marginal prices'!$D$8:$D$70,F192)/L192+SUMIFS('DMS marginal prices'!$G$8:$G$70,'DMS marginal prices'!$F$8:$F$70,J193,'DMS marginal prices'!$D$8:$D$70,G193)*U193</f>
        <v>60.270053901133089</v>
      </c>
      <c r="AC192" s="82">
        <f>SUM(Y192:AB195)*1000/(V195)</f>
        <v>900.91643270449526</v>
      </c>
      <c r="AF192" s="82" cm="1">
        <f t="array" ref="AF192">INDEX('IND tech'!$L$6:$V$182,MATCH($A192&amp;$J192,'IND tech'!$A$6:$A$182&amp;'IND tech'!$J$6:$J$182,0),MATCH(AF$5,'IND tech'!$L$3:$V$3,0))</f>
        <v>0.89</v>
      </c>
      <c r="AG192" s="91">
        <f>-AH192/(1+AH192)</f>
        <v>-0.21599939112222374</v>
      </c>
      <c r="AH192" s="91">
        <f>'401.c Post comb - Cement kiln'!$D$11*IND_CCS!AT192</f>
        <v>0.27550921348314605</v>
      </c>
      <c r="AJ192" s="91">
        <f>'401.c Post comb - Cement kiln'!$D$28*7.45*AT192</f>
        <v>7.411963146067416</v>
      </c>
      <c r="AK192" s="91">
        <f>'401.c Post comb - Cement kiln'!$D$34*IND_CCS!AT192*7.45</f>
        <v>0.2223588943820225</v>
      </c>
      <c r="AL192" s="91">
        <f>$AM$8*'401.c Post comb - Cement kiln'!$D$35*7.45</f>
        <v>0.58735800000000005</v>
      </c>
      <c r="AR192" s="91">
        <f>Emissions!$C$11/AF192</f>
        <v>106.29213483146067</v>
      </c>
      <c r="AS192" s="91">
        <f>IF(RIGHT(H192,2)="HT",$AZ$4/$AZ$5,0)</f>
        <v>0</v>
      </c>
      <c r="AT192" s="91">
        <f>$AM$8*(SUM($AR192:$AS192))*1000/8760</f>
        <v>0.38265168539325844</v>
      </c>
    </row>
    <row r="193" spans="1:46" s="91" customFormat="1">
      <c r="A193" s="91" t="str">
        <f>A192</f>
        <v>INDGDRHCOAN2</v>
      </c>
      <c r="G193" s="91" t="s">
        <v>310</v>
      </c>
      <c r="J193" s="91">
        <v>2030</v>
      </c>
      <c r="U193" s="91">
        <f>AI193</f>
        <v>8.4183370786516856E-3</v>
      </c>
      <c r="AI193" s="91">
        <f>'401.c Post comb - Cement kiln'!$D$12*IND_CCS!AT192</f>
        <v>8.4183370786516856E-3</v>
      </c>
    </row>
    <row r="194" spans="1:46" s="91" customFormat="1">
      <c r="A194" s="91" t="str">
        <f>A193</f>
        <v>INDGDRHCOAN2</v>
      </c>
      <c r="C194" s="91" t="s">
        <v>785</v>
      </c>
      <c r="I194" s="91" t="str">
        <f>'IND tech'!$I$132</f>
        <v>INDGWH</v>
      </c>
      <c r="J194" s="91">
        <v>2030</v>
      </c>
      <c r="V194" s="91" cm="1">
        <f t="array" ref="V194">INDEX('IND tech'!$L$6:$V$182,MATCH($A192&amp;$J192,'IND tech'!$A$6:$A$182&amp;'IND tech'!$J$6:$J$182,0),MATCH(V$5,'IND tech'!$L$3:$V$3,0))</f>
        <v>0.10999999999999999</v>
      </c>
      <c r="Y194" s="82"/>
      <c r="Z194" s="82"/>
      <c r="AC194" s="82"/>
    </row>
    <row r="195" spans="1:46" s="91" customFormat="1">
      <c r="A195" s="91" t="str">
        <f>A194</f>
        <v>INDGDRHCOAN2</v>
      </c>
      <c r="I195" s="91" t="s">
        <v>596</v>
      </c>
      <c r="J195" s="91">
        <v>2030</v>
      </c>
      <c r="V195" s="91">
        <f>SUM(AR192:AS192)</f>
        <v>106.29213483146067</v>
      </c>
    </row>
    <row r="196" spans="1:46" s="91" customFormat="1">
      <c r="A196" s="91" t="str">
        <f>IF(C196&gt;0,LEFT(C196,12),A195)</f>
        <v>INDGDRHCOAN2</v>
      </c>
      <c r="F196" s="91" t="str">
        <f>F192</f>
        <v>INDCOA</v>
      </c>
      <c r="H196" s="91" t="str">
        <f>H192</f>
        <v>IGDRH</v>
      </c>
      <c r="J196" s="91">
        <v>2050</v>
      </c>
      <c r="L196" s="82">
        <f>AF196+AG196</f>
        <v>0.71192490175979339</v>
      </c>
      <c r="N196" s="383" cm="1">
        <f t="array" ref="N196">INDEX('IND tech'!$L$6:$V$182,MATCH($A196&amp;$J196,'IND tech'!$A$6:$A$182&amp;'IND tech'!$J$6:$J$182,0),MATCH(N$5,'IND tech'!$L$3:$V$3,0))+AJ196</f>
        <v>8.743581978021977</v>
      </c>
      <c r="O196" s="383" cm="1">
        <f t="array" ref="O196">INDEX('IND tech'!$L$6:$V$182,MATCH($A196&amp;$J196,'IND tech'!$A$6:$A$182&amp;'IND tech'!$J$6:$J$182,0),MATCH(O$5,'IND tech'!$L$3:$V$3,0))+AK196</f>
        <v>0.37852745934065934</v>
      </c>
      <c r="P196" s="383" cm="1">
        <f t="array" ref="P196">INDEX('IND tech'!$L$6:$V$182,MATCH($A196&amp;$J196,'IND tech'!$A$6:$A$182&amp;'IND tech'!$J$6:$J$182,0),MATCH(P$5,'IND tech'!$L$3:$V$3,0))+AL196</f>
        <v>4.593802444444445</v>
      </c>
      <c r="W196" s="91">
        <v>3</v>
      </c>
      <c r="Y196" s="82">
        <f>-1*PMT($Y$3,M188,N196*1000000)/Q188*R188/1000000</f>
        <v>16.86038660539019</v>
      </c>
      <c r="Z196" s="82">
        <f>O196*1000000/Q188*R188/1000000</f>
        <v>11.402875646043451</v>
      </c>
      <c r="AA196" s="91">
        <f>SUMIFS('DMS marginal prices'!$G$8:$G$70,'DMS marginal prices'!$F$8:$F$70,J196,'DMS marginal prices'!$D$8:$D$70,F196)/L196+SUMIFS('DMS marginal prices'!$G$8:$G$70,'DMS marginal prices'!$F$8:$F$70,J197,'DMS marginal prices'!$D$8:$D$70,G197)*U197</f>
        <v>48.071394585309207</v>
      </c>
      <c r="AC196" s="82">
        <f>SUM(Y196:AB199)*1000/(V199)</f>
        <v>734.29743891581404</v>
      </c>
      <c r="AF196" s="82" cm="1">
        <f t="array" ref="AF196">INDEX('IND tech'!$L$6:$V$182,MATCH($A196&amp;$J196,'IND tech'!$A$6:$A$182&amp;'IND tech'!$J$6:$J$182,0),MATCH(AF$5,'IND tech'!$L$3:$V$3,0))</f>
        <v>0.91</v>
      </c>
      <c r="AG196" s="91">
        <f>-AH196/(1+AH196)</f>
        <v>-0.19807509824020661</v>
      </c>
      <c r="AH196" s="91">
        <f>'401.c Post comb - Cement kiln'!$F$11*IND_CCS!AT196</f>
        <v>0.24699956043956042</v>
      </c>
      <c r="AJ196" s="91">
        <f>'401.c Post comb - Cement kiln'!$F$28*7.45*AT196</f>
        <v>5.0185819780219774</v>
      </c>
      <c r="AK196" s="91">
        <f>'401.c Post comb - Cement kiln'!$F$34*IND_CCS!AT196*7.45</f>
        <v>0.15055745934065931</v>
      </c>
      <c r="AL196" s="91">
        <f>$AM$8*'401.c Post comb - Cement kiln'!$F$35*7.45</f>
        <v>0.58735800000000005</v>
      </c>
      <c r="AR196" s="91">
        <f>Emissions!$C$11/AF196</f>
        <v>103.95604395604394</v>
      </c>
      <c r="AS196" s="91">
        <f>IF(RIGHT(H196,2)="HT",$AZ$4/$AZ$5,0)</f>
        <v>0</v>
      </c>
      <c r="AT196" s="91">
        <f>$AM$8*(SUM($AR196:$AS196))*1000/8760</f>
        <v>0.3742417582417582</v>
      </c>
    </row>
    <row r="197" spans="1:46" s="91" customFormat="1">
      <c r="A197" s="91" t="str">
        <f>A196</f>
        <v>INDGDRHCOAN2</v>
      </c>
      <c r="G197" s="91" t="s">
        <v>310</v>
      </c>
      <c r="J197" s="91">
        <v>2050</v>
      </c>
      <c r="U197" s="91">
        <f>AI197</f>
        <v>6.7363516483516473E-3</v>
      </c>
      <c r="AI197" s="91">
        <f>'401.c Post comb - Cement kiln'!$F$12*IND_CCS!AT196</f>
        <v>6.7363516483516473E-3</v>
      </c>
    </row>
    <row r="198" spans="1:46" s="91" customFormat="1">
      <c r="A198" s="91" t="str">
        <f>A197</f>
        <v>INDGDRHCOAN2</v>
      </c>
      <c r="C198" s="91" t="s">
        <v>785</v>
      </c>
      <c r="I198" s="91" t="str">
        <f>'IND tech'!$I$132</f>
        <v>INDGWH</v>
      </c>
      <c r="J198" s="91">
        <v>2050</v>
      </c>
      <c r="V198" s="91" cm="1">
        <f t="array" ref="V198">INDEX('IND tech'!$L$6:$V$182,MATCH($A196&amp;$J196,'IND tech'!$A$6:$A$182&amp;'IND tech'!$J$6:$J$182,0),MATCH(V$5,'IND tech'!$L$3:$V$3,0))</f>
        <v>8.9999999999999969E-2</v>
      </c>
      <c r="Y198" s="82"/>
      <c r="Z198" s="82"/>
      <c r="AC198" s="82"/>
    </row>
    <row r="199" spans="1:46" s="91" customFormat="1">
      <c r="A199" s="91" t="str">
        <f>A198</f>
        <v>INDGDRHCOAN2</v>
      </c>
      <c r="I199" s="91" t="s">
        <v>596</v>
      </c>
      <c r="J199" s="91">
        <v>2050</v>
      </c>
      <c r="V199" s="91">
        <f>SUM(AR196:AS196)</f>
        <v>103.95604395604394</v>
      </c>
    </row>
  </sheetData>
  <phoneticPr fontId="73" type="noConversion"/>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B1:AB25"/>
  <sheetViews>
    <sheetView topLeftCell="E1" workbookViewId="0">
      <selection activeCell="Z11" sqref="Z11"/>
    </sheetView>
  </sheetViews>
  <sheetFormatPr defaultRowHeight="14.4"/>
  <cols>
    <col min="2" max="2" width="13.6640625" bestFit="1" customWidth="1"/>
    <col min="3" max="3" width="47.44140625" bestFit="1" customWidth="1"/>
    <col min="4" max="4" width="27.33203125" bestFit="1" customWidth="1"/>
    <col min="6" max="6" width="22.6640625" bestFit="1" customWidth="1"/>
    <col min="10" max="10" width="11" bestFit="1" customWidth="1"/>
    <col min="13" max="13" width="10" bestFit="1" customWidth="1"/>
    <col min="14" max="14" width="10.5546875" bestFit="1" customWidth="1"/>
    <col min="24" max="24" width="12.44140625" bestFit="1" customWidth="1"/>
    <col min="25" max="25" width="9.5546875" bestFit="1" customWidth="1"/>
  </cols>
  <sheetData>
    <row r="1" spans="2:28">
      <c r="X1" s="119">
        <v>0.04</v>
      </c>
    </row>
    <row r="2" spans="2:28">
      <c r="B2" s="74"/>
      <c r="C2" s="74"/>
      <c r="D2" s="74"/>
      <c r="E2" s="74"/>
      <c r="F2" s="74"/>
      <c r="G2" s="2" t="s">
        <v>0</v>
      </c>
      <c r="H2" s="74"/>
      <c r="I2" s="74"/>
      <c r="J2" s="74"/>
      <c r="K2" s="74"/>
      <c r="L2" s="74"/>
      <c r="M2" s="74"/>
      <c r="N2" s="74"/>
      <c r="O2" s="74"/>
      <c r="P2" s="74"/>
      <c r="Q2" s="74"/>
      <c r="R2" s="74"/>
      <c r="S2" s="74"/>
      <c r="T2" s="74"/>
      <c r="U2" s="74"/>
      <c r="V2" s="74"/>
    </row>
    <row r="3" spans="2:28" ht="28.8">
      <c r="B3" s="3" t="s">
        <v>1</v>
      </c>
      <c r="C3" s="3" t="s">
        <v>2</v>
      </c>
      <c r="D3" s="3" t="s">
        <v>3</v>
      </c>
      <c r="E3" s="3" t="s">
        <v>59</v>
      </c>
      <c r="F3" s="4" t="s">
        <v>4</v>
      </c>
      <c r="G3" s="3" t="s">
        <v>5</v>
      </c>
      <c r="H3" s="3" t="s">
        <v>6</v>
      </c>
      <c r="I3" s="3" t="s">
        <v>167</v>
      </c>
      <c r="J3" s="3" t="s">
        <v>7</v>
      </c>
      <c r="K3" s="3" t="s">
        <v>8</v>
      </c>
      <c r="L3" s="3" t="s">
        <v>9</v>
      </c>
      <c r="M3" s="3" t="s">
        <v>10</v>
      </c>
      <c r="N3" s="3" t="s">
        <v>11</v>
      </c>
      <c r="O3" s="3" t="s">
        <v>12</v>
      </c>
      <c r="P3" s="3" t="s">
        <v>171</v>
      </c>
      <c r="Q3" s="3" t="s">
        <v>19</v>
      </c>
      <c r="R3" s="3" t="s">
        <v>172</v>
      </c>
      <c r="U3" s="3" t="s">
        <v>184</v>
      </c>
      <c r="V3" s="3" t="s">
        <v>190</v>
      </c>
      <c r="X3" t="s">
        <v>1028</v>
      </c>
    </row>
    <row r="4" spans="2:28" ht="44.25" customHeight="1">
      <c r="B4" s="5" t="s">
        <v>13</v>
      </c>
      <c r="C4" s="5"/>
      <c r="D4" s="5" t="s">
        <v>67</v>
      </c>
      <c r="E4" s="5" t="s">
        <v>215</v>
      </c>
      <c r="F4" s="6" t="s">
        <v>68</v>
      </c>
      <c r="G4" s="5"/>
      <c r="H4" s="5" t="s">
        <v>66</v>
      </c>
      <c r="I4" s="5" t="s">
        <v>969</v>
      </c>
      <c r="J4" s="5" t="s">
        <v>314</v>
      </c>
      <c r="K4" s="5" t="s">
        <v>63</v>
      </c>
      <c r="L4" s="5" t="s">
        <v>64</v>
      </c>
      <c r="M4" s="5" t="s">
        <v>65</v>
      </c>
      <c r="N4" s="5" t="s">
        <v>60</v>
      </c>
      <c r="O4" s="5" t="s">
        <v>61</v>
      </c>
      <c r="P4" s="5" t="s">
        <v>177</v>
      </c>
      <c r="Q4" s="5" t="s">
        <v>62</v>
      </c>
      <c r="R4" s="5" t="s">
        <v>178</v>
      </c>
      <c r="U4" s="5" t="s">
        <v>185</v>
      </c>
      <c r="V4" s="5" t="s">
        <v>970</v>
      </c>
      <c r="X4" t="s">
        <v>1029</v>
      </c>
      <c r="Y4" t="s">
        <v>1030</v>
      </c>
      <c r="Z4" t="s">
        <v>1031</v>
      </c>
      <c r="AA4" t="s">
        <v>1032</v>
      </c>
      <c r="AB4" t="s">
        <v>1028</v>
      </c>
    </row>
    <row r="5" spans="2:28" ht="15" thickBot="1">
      <c r="B5" s="7" t="s">
        <v>14</v>
      </c>
      <c r="C5" s="8"/>
      <c r="D5" s="8"/>
      <c r="E5" s="8"/>
      <c r="F5" s="64"/>
      <c r="G5" s="8"/>
      <c r="H5" s="8"/>
      <c r="I5" s="8" t="s">
        <v>313</v>
      </c>
      <c r="J5" s="8" t="s">
        <v>315</v>
      </c>
      <c r="K5" s="8" t="s">
        <v>317</v>
      </c>
      <c r="L5" s="8" t="s">
        <v>317</v>
      </c>
      <c r="M5" s="8" t="s">
        <v>316</v>
      </c>
      <c r="N5" s="8" t="s">
        <v>15</v>
      </c>
      <c r="O5" s="8" t="s">
        <v>15</v>
      </c>
      <c r="P5" s="8"/>
      <c r="Q5" s="8" t="s">
        <v>16</v>
      </c>
      <c r="R5" s="8" t="s">
        <v>181</v>
      </c>
      <c r="U5" s="8"/>
      <c r="V5" s="8" t="s">
        <v>313</v>
      </c>
      <c r="X5" t="s">
        <v>378</v>
      </c>
      <c r="Y5" s="91" t="s">
        <v>378</v>
      </c>
      <c r="Z5" s="91" t="s">
        <v>378</v>
      </c>
      <c r="AA5" s="91" t="s">
        <v>378</v>
      </c>
      <c r="AB5" t="s">
        <v>378</v>
      </c>
    </row>
    <row r="6" spans="2:28">
      <c r="B6" s="91" t="s">
        <v>612</v>
      </c>
      <c r="C6" s="91" t="s">
        <v>765</v>
      </c>
      <c r="D6" s="91" t="s">
        <v>311</v>
      </c>
      <c r="E6" s="91"/>
      <c r="F6" s="91" t="s">
        <v>973</v>
      </c>
      <c r="G6" s="91">
        <v>2020</v>
      </c>
      <c r="H6" s="91">
        <v>2020</v>
      </c>
      <c r="I6" s="91">
        <f>'403.a Direct air capture'!$B$10*3.6/1000</f>
        <v>1.2600000000000001E-3</v>
      </c>
      <c r="K6" s="91">
        <f>'403.a Direct air capture'!$B$24*7.45*1000/8760</f>
        <v>5.9531963470319633</v>
      </c>
      <c r="L6" s="82">
        <f>'403.a Direct air capture'!$B$27*7.45*1000/8760</f>
        <v>0.29468321917808221</v>
      </c>
      <c r="M6" s="91"/>
      <c r="N6" s="68">
        <v>1</v>
      </c>
      <c r="O6" s="91">
        <v>0.95</v>
      </c>
      <c r="P6" s="91"/>
      <c r="Q6" s="91">
        <f>'403.a Direct air capture'!B21</f>
        <v>20</v>
      </c>
      <c r="R6" s="91">
        <v>1</v>
      </c>
      <c r="U6" s="91"/>
      <c r="V6" s="91"/>
      <c r="X6" s="82">
        <f>-1*PMT($X$1,Q6,K6*1000000)/(1000*O6)</f>
        <v>461.10169185748566</v>
      </c>
      <c r="Y6" s="82">
        <f>L6*1000000/(1000*O6)</f>
        <v>310.19286229271808</v>
      </c>
      <c r="Z6">
        <f>I6*1000*SUMIFS('DMS marginal prices'!$G$8:$G$70,'DMS marginal prices'!$F$8:$F$70,SUP_DAC!G6,'DMS marginal prices'!$D$8:$D$70,SUP_DAC!D6)+I7*1000*SUMIFS('DMS marginal prices'!$G$8:$G$70,'DMS marginal prices'!$F$8:$F$70,SUP_DAC!G6,'DMS marginal prices'!$D$8:$D$70,SUP_DAC!D7)</f>
        <v>565.52624958679598</v>
      </c>
      <c r="AA6" s="91">
        <v>0</v>
      </c>
      <c r="AB6" s="82">
        <f>SUM(X6:AA7)</f>
        <v>1336.8208037369998</v>
      </c>
    </row>
    <row r="7" spans="2:28">
      <c r="B7" s="91"/>
      <c r="C7" s="91"/>
      <c r="D7" s="91" t="s">
        <v>601</v>
      </c>
      <c r="F7" s="91"/>
      <c r="G7" s="91"/>
      <c r="H7" s="91"/>
      <c r="I7" s="91">
        <f>'403.a Direct air capture'!$B$9*3.6/1000</f>
        <v>8.9999999999999993E-3</v>
      </c>
      <c r="J7" s="91"/>
      <c r="K7" s="91"/>
      <c r="L7" s="91"/>
      <c r="M7" s="91"/>
      <c r="N7" s="91"/>
      <c r="O7" s="91"/>
      <c r="P7" s="91"/>
      <c r="Q7" s="91"/>
      <c r="R7" s="91"/>
      <c r="U7" s="91" t="s">
        <v>601</v>
      </c>
      <c r="V7" s="91">
        <f>'403.a Direct air capture'!$B$16*3.6/1000</f>
        <v>4.4999999999999997E-3</v>
      </c>
      <c r="Z7" s="91"/>
    </row>
    <row r="8" spans="2:28">
      <c r="D8" s="91" t="s">
        <v>311</v>
      </c>
      <c r="E8" s="91"/>
      <c r="F8" s="91" t="s">
        <v>973</v>
      </c>
      <c r="G8" s="91">
        <v>2025</v>
      </c>
      <c r="H8" s="91"/>
      <c r="I8" s="91">
        <f>'403.a Direct air capture'!$C$10*3.6/1000</f>
        <v>1.2600000000000001E-3</v>
      </c>
      <c r="K8" s="91">
        <f>'403.a Direct air capture'!$C$24*7.45*1000/8760</f>
        <v>5.9531963470319633</v>
      </c>
      <c r="L8" s="82">
        <f>'403.a Direct air capture'!$C$27*7.45*1000/8760</f>
        <v>0.29468321917808221</v>
      </c>
      <c r="M8" s="91"/>
      <c r="N8" s="68"/>
      <c r="O8" s="91">
        <v>0.95</v>
      </c>
      <c r="P8" s="91"/>
      <c r="Q8" s="91">
        <v>20</v>
      </c>
      <c r="R8" s="91">
        <v>1</v>
      </c>
      <c r="U8" s="91"/>
      <c r="V8" s="91"/>
      <c r="X8" s="82">
        <f>-1*PMT($X$1,Q8,K8*1000000)/(1000*O8)</f>
        <v>461.10169185748566</v>
      </c>
      <c r="Y8" s="82">
        <f>L8*1000000/(1000*O8)</f>
        <v>310.19286229271808</v>
      </c>
      <c r="Z8" s="91">
        <f>I8*1000*SUMIFS('DMS marginal prices'!$G$8:$G$70,'DMS marginal prices'!$F$8:$F$70,SUP_DAC!G8,'DMS marginal prices'!$D$8:$D$70,SUP_DAC!D8)+I9*1000*SUMIFS('DMS marginal prices'!$G$8:$G$70,'DMS marginal prices'!$F$8:$F$70,SUP_DAC!G8,'DMS marginal prices'!$D$8:$D$70,SUP_DAC!D9)</f>
        <v>449.30788861154122</v>
      </c>
      <c r="AA8" s="91">
        <v>0</v>
      </c>
      <c r="AB8" s="82">
        <f>SUM(X8:AA9)</f>
        <v>1220.6024427617449</v>
      </c>
    </row>
    <row r="9" spans="2:28">
      <c r="D9" s="91" t="s">
        <v>601</v>
      </c>
      <c r="F9" s="91"/>
      <c r="G9" s="91"/>
      <c r="H9" s="91"/>
      <c r="I9" s="91">
        <f>'403.a Direct air capture'!$C$9*3.6/1000</f>
        <v>8.9999999999999993E-3</v>
      </c>
      <c r="J9" s="91"/>
      <c r="K9" s="91"/>
      <c r="L9" s="91"/>
      <c r="M9" s="91"/>
      <c r="N9" s="91"/>
      <c r="O9" s="91"/>
      <c r="P9" s="91"/>
      <c r="Q9" s="91"/>
      <c r="R9" s="91"/>
      <c r="U9" s="91" t="s">
        <v>601</v>
      </c>
      <c r="V9" s="91">
        <f>'403.a Direct air capture'!$C$16*3.6/1000</f>
        <v>4.4999999999999997E-3</v>
      </c>
      <c r="X9" s="91"/>
      <c r="Y9" s="91"/>
      <c r="Z9" s="91"/>
      <c r="AA9" s="91"/>
      <c r="AB9" s="91"/>
    </row>
    <row r="10" spans="2:28">
      <c r="D10" s="91" t="s">
        <v>311</v>
      </c>
      <c r="E10" s="91"/>
      <c r="F10" s="91" t="s">
        <v>973</v>
      </c>
      <c r="G10" s="91">
        <v>2030</v>
      </c>
      <c r="H10" s="91"/>
      <c r="I10" s="91">
        <f>'403.a Direct air capture'!$D$10*3.6/1000</f>
        <v>1.152E-3</v>
      </c>
      <c r="K10" s="91">
        <f>'403.a Direct air capture'!$D$24*7.45*1000/8760</f>
        <v>5.102739726027397</v>
      </c>
      <c r="L10" s="82">
        <f>'403.a Direct air capture'!$D$27*7.45*1000/8760</f>
        <v>0.2525856164383562</v>
      </c>
      <c r="M10" s="91"/>
      <c r="N10" s="91"/>
      <c r="O10" s="91">
        <v>0.95</v>
      </c>
      <c r="P10" s="91"/>
      <c r="Q10" s="91">
        <v>20</v>
      </c>
      <c r="R10" s="91">
        <v>1</v>
      </c>
      <c r="U10" s="91"/>
      <c r="V10" s="91"/>
      <c r="X10" s="82">
        <f>-1*PMT($X$1,Q10,K10*1000000)/(1000*O10)</f>
        <v>395.2300215921307</v>
      </c>
      <c r="Y10" s="82">
        <f>L10*1000000/(1000*O10)</f>
        <v>265.87959625090127</v>
      </c>
      <c r="Z10" s="91">
        <f>I10*1000*SUMIFS('DMS marginal prices'!$G$8:$G$70,'DMS marginal prices'!$F$8:$F$70,SUP_DAC!G10,'DMS marginal prices'!$D$8:$D$70,SUP_DAC!D10)+I11*1000*SUMIFS('DMS marginal prices'!$G$8:$G$70,'DMS marginal prices'!$F$8:$F$70,SUP_DAC!G10,'DMS marginal prices'!$D$8:$D$70,SUP_DAC!D11)</f>
        <v>472.69880117312539</v>
      </c>
      <c r="AA10" s="91">
        <v>0</v>
      </c>
      <c r="AB10" s="82">
        <f>SUM(X10:AA11)</f>
        <v>1133.8084190161574</v>
      </c>
    </row>
    <row r="11" spans="2:28">
      <c r="D11" s="91" t="s">
        <v>601</v>
      </c>
      <c r="F11" s="91"/>
      <c r="G11" s="91"/>
      <c r="H11" s="91"/>
      <c r="I11" s="91">
        <f>'403.a Direct air capture'!$D$9*3.6/1000</f>
        <v>7.1999999999999998E-3</v>
      </c>
      <c r="J11" s="91"/>
      <c r="K11" s="91"/>
      <c r="L11" s="91"/>
      <c r="M11" s="91"/>
      <c r="N11" s="91"/>
      <c r="O11" s="91"/>
      <c r="P11" s="91"/>
      <c r="Q11" s="91"/>
      <c r="R11" s="91"/>
      <c r="U11" s="91" t="s">
        <v>601</v>
      </c>
      <c r="V11" s="91">
        <f>'403.a Direct air capture'!$D$16*3.6/1000</f>
        <v>3.5999999999999999E-3</v>
      </c>
      <c r="X11" s="91"/>
      <c r="Y11" s="91"/>
      <c r="Z11" s="91"/>
      <c r="AA11" s="91"/>
      <c r="AB11" s="91"/>
    </row>
    <row r="12" spans="2:28">
      <c r="D12" s="91" t="s">
        <v>311</v>
      </c>
      <c r="E12" s="91"/>
      <c r="F12" s="91" t="s">
        <v>973</v>
      </c>
      <c r="G12" s="91">
        <v>2040</v>
      </c>
      <c r="H12" s="91"/>
      <c r="I12" s="91">
        <f>'403.a Direct air capture'!$E$10*3.6/1000</f>
        <v>1.08E-3</v>
      </c>
      <c r="K12" s="91">
        <f>'403.a Direct air capture'!$E$24*7.45*1000/8760</f>
        <v>4.2522831050228307</v>
      </c>
      <c r="L12" s="82">
        <f>'403.a Direct air capture'!$E$27*7.45*1000/8760</f>
        <v>0.21048801369863013</v>
      </c>
      <c r="M12" s="91"/>
      <c r="N12" s="91"/>
      <c r="O12" s="91">
        <v>0.95</v>
      </c>
      <c r="P12" s="91"/>
      <c r="Q12" s="91">
        <v>20</v>
      </c>
      <c r="R12" s="91">
        <v>1</v>
      </c>
      <c r="U12" s="91"/>
      <c r="V12" s="91"/>
      <c r="X12" s="82">
        <f>-1*PMT($X$1,Q12,K12*1000000)/(1000*O12)</f>
        <v>329.35835132677556</v>
      </c>
      <c r="Y12" s="82">
        <f>L12*1000000/(1000*O12)</f>
        <v>221.56633020908433</v>
      </c>
      <c r="Z12" s="91">
        <f>I12*1000*SUMIFS('DMS marginal prices'!$G$8:$G$70,'DMS marginal prices'!$F$8:$F$70,SUP_DAC!G12,'DMS marginal prices'!$D$8:$D$70,SUP_DAC!D12)+I13*1000*SUMIFS('DMS marginal prices'!$G$8:$G$70,'DMS marginal prices'!$F$8:$F$70,SUP_DAC!G12,'DMS marginal prices'!$D$8:$D$70,SUP_DAC!D13)</f>
        <v>119.95464377535474</v>
      </c>
      <c r="AA12" s="91">
        <v>0</v>
      </c>
      <c r="AB12" s="82">
        <f>SUM(X12:AA13)</f>
        <v>670.87932531121464</v>
      </c>
    </row>
    <row r="13" spans="2:28">
      <c r="D13" s="91" t="s">
        <v>601</v>
      </c>
      <c r="F13" s="91"/>
      <c r="G13" s="91"/>
      <c r="H13" s="91"/>
      <c r="I13" s="91">
        <f>'403.a Direct air capture'!$E$9*3.6/1000</f>
        <v>5.4000000000000003E-3</v>
      </c>
      <c r="J13" s="91"/>
      <c r="K13" s="91"/>
      <c r="L13" s="91"/>
      <c r="M13" s="91"/>
      <c r="N13" s="91"/>
      <c r="O13" s="91"/>
      <c r="P13" s="91"/>
      <c r="Q13" s="91"/>
      <c r="R13" s="91"/>
      <c r="U13" s="91" t="s">
        <v>601</v>
      </c>
      <c r="V13" s="91">
        <f>'403.a Direct air capture'!$E$16*3.6/1000</f>
        <v>2.7000000000000001E-3</v>
      </c>
      <c r="X13" s="91"/>
      <c r="Y13" s="91"/>
      <c r="Z13" s="91"/>
      <c r="AA13" s="91"/>
      <c r="AB13" s="91"/>
    </row>
    <row r="14" spans="2:28">
      <c r="D14" s="91" t="s">
        <v>311</v>
      </c>
      <c r="E14" s="91"/>
      <c r="F14" s="91" t="s">
        <v>973</v>
      </c>
      <c r="G14" s="91">
        <v>2050</v>
      </c>
      <c r="H14" s="91"/>
      <c r="I14" s="91">
        <f>'403.a Direct air capture'!$F$10*3.6/1000</f>
        <v>1.0080000000000002E-3</v>
      </c>
      <c r="K14" s="91">
        <f>'403.a Direct air capture'!$F$24*7.45*1000/8760</f>
        <v>3.4018264840182648</v>
      </c>
      <c r="L14" s="82">
        <f>'403.a Direct air capture'!$F$27*7.45*1000/8760</f>
        <v>0.16839041095890411</v>
      </c>
      <c r="M14" s="91"/>
      <c r="N14" s="91"/>
      <c r="O14" s="91">
        <v>0.95</v>
      </c>
      <c r="P14" s="91"/>
      <c r="Q14" s="91">
        <v>20</v>
      </c>
      <c r="R14" s="91">
        <v>1</v>
      </c>
      <c r="U14" s="91"/>
      <c r="V14" s="91"/>
      <c r="X14" s="82">
        <f>-1*PMT($X$1,Q14,K14*1000000)/(1000*O14)</f>
        <v>263.48668106142043</v>
      </c>
      <c r="Y14" s="82">
        <f>L14*1000000/(1000*O14)</f>
        <v>177.25306416726747</v>
      </c>
      <c r="Z14" s="91">
        <f>I14*1000*SUMIFS('DMS marginal prices'!$G$8:$G$70,'DMS marginal prices'!$F$8:$F$70,SUP_DAC!G14,'DMS marginal prices'!$D$8:$D$70,SUP_DAC!D14)+I15*1000*SUMIFS('DMS marginal prices'!$G$8:$G$70,'DMS marginal prices'!$F$8:$F$70,SUP_DAC!G14,'DMS marginal prices'!$D$8:$D$70,SUP_DAC!D15)</f>
        <v>276.71596389090053</v>
      </c>
      <c r="AA14" s="91">
        <v>0</v>
      </c>
      <c r="AB14" s="82">
        <f>SUM(X14:AA15)</f>
        <v>717.45570911958839</v>
      </c>
    </row>
    <row r="15" spans="2:28">
      <c r="B15" s="48"/>
      <c r="C15" s="48"/>
      <c r="D15" s="48" t="s">
        <v>601</v>
      </c>
      <c r="F15" s="48"/>
      <c r="G15" s="48"/>
      <c r="H15" s="48"/>
      <c r="I15" s="48">
        <f>'403.a Direct air capture'!$F$9*3.6/1000</f>
        <v>5.4000000000000003E-3</v>
      </c>
      <c r="J15" s="48"/>
      <c r="K15" s="48"/>
      <c r="L15" s="48"/>
      <c r="M15" s="48"/>
      <c r="N15" s="48"/>
      <c r="O15" s="48"/>
      <c r="P15" s="48"/>
      <c r="Q15" s="48"/>
      <c r="R15" s="48"/>
      <c r="U15" s="48" t="s">
        <v>601</v>
      </c>
      <c r="V15" s="48">
        <f>'403.a Direct air capture'!$F$16*3.6/1000</f>
        <v>2.7000000000000001E-3</v>
      </c>
      <c r="X15" s="91"/>
      <c r="Y15" s="91"/>
      <c r="Z15" s="91"/>
      <c r="AA15" s="91"/>
      <c r="AB15" s="91"/>
    </row>
    <row r="16" spans="2:28">
      <c r="B16" s="91" t="s">
        <v>766</v>
      </c>
      <c r="C16" s="91" t="s">
        <v>765</v>
      </c>
      <c r="D16" s="91" t="str">
        <f>D6</f>
        <v>SUPELC</v>
      </c>
      <c r="E16" s="91"/>
      <c r="F16" s="91" t="str">
        <f>F6</f>
        <v>CO2DAC</v>
      </c>
      <c r="G16" s="91">
        <f>G6</f>
        <v>2020</v>
      </c>
      <c r="H16" s="91">
        <f>H6</f>
        <v>2020</v>
      </c>
      <c r="I16" s="91">
        <f>I6</f>
        <v>1.2600000000000001E-3</v>
      </c>
      <c r="K16" s="91">
        <f>K6</f>
        <v>5.9531963470319633</v>
      </c>
      <c r="L16" s="91">
        <f>L6</f>
        <v>0.29468321917808221</v>
      </c>
      <c r="N16" s="68">
        <v>1</v>
      </c>
      <c r="O16" s="91">
        <f>O6</f>
        <v>0.95</v>
      </c>
      <c r="Q16" s="91">
        <f>Q6</f>
        <v>20</v>
      </c>
      <c r="R16" s="91">
        <f>R6</f>
        <v>1</v>
      </c>
      <c r="U16" s="91"/>
    </row>
    <row r="17" spans="2:24">
      <c r="B17" s="91"/>
      <c r="C17" s="91"/>
      <c r="D17" s="91" t="s">
        <v>767</v>
      </c>
      <c r="F17" s="91"/>
      <c r="G17" s="91"/>
      <c r="H17" s="91"/>
      <c r="I17" s="91">
        <f t="shared" ref="I17:I25" si="0">I7</f>
        <v>8.9999999999999993E-3</v>
      </c>
      <c r="Q17" s="91"/>
      <c r="U17" s="91" t="s">
        <v>767</v>
      </c>
      <c r="V17" s="91">
        <f>V7</f>
        <v>4.4999999999999997E-3</v>
      </c>
      <c r="X17" s="389"/>
    </row>
    <row r="18" spans="2:24">
      <c r="D18" s="91" t="str">
        <f>D8</f>
        <v>SUPELC</v>
      </c>
      <c r="E18" s="91"/>
      <c r="F18" s="91" t="str">
        <f>F8</f>
        <v>CO2DAC</v>
      </c>
      <c r="G18" s="91">
        <f>G8</f>
        <v>2025</v>
      </c>
      <c r="H18" s="91"/>
      <c r="I18" s="91">
        <f t="shared" si="0"/>
        <v>1.2600000000000001E-3</v>
      </c>
      <c r="K18" s="91">
        <f>K8</f>
        <v>5.9531963470319633</v>
      </c>
      <c r="L18" s="91">
        <f>L8</f>
        <v>0.29468321917808221</v>
      </c>
      <c r="M18" s="91"/>
      <c r="N18" s="91"/>
      <c r="O18" s="91">
        <f>O8</f>
        <v>0.95</v>
      </c>
      <c r="P18" s="91"/>
      <c r="Q18" s="91">
        <f>Q8</f>
        <v>20</v>
      </c>
      <c r="R18" s="91">
        <f>R8</f>
        <v>1</v>
      </c>
      <c r="U18" s="91"/>
      <c r="V18" s="91"/>
    </row>
    <row r="19" spans="2:24">
      <c r="D19" s="91" t="s">
        <v>767</v>
      </c>
      <c r="F19" s="91"/>
      <c r="G19" s="91"/>
      <c r="H19" s="91"/>
      <c r="I19" s="91">
        <f t="shared" si="0"/>
        <v>8.9999999999999993E-3</v>
      </c>
      <c r="J19" s="91"/>
      <c r="K19" s="91"/>
      <c r="L19" s="91"/>
      <c r="M19" s="91"/>
      <c r="N19" s="91"/>
      <c r="O19" s="91"/>
      <c r="P19" s="91"/>
      <c r="Q19" s="91"/>
      <c r="R19" s="91"/>
      <c r="U19" s="91" t="s">
        <v>767</v>
      </c>
      <c r="V19" s="91">
        <f>V9</f>
        <v>4.4999999999999997E-3</v>
      </c>
    </row>
    <row r="20" spans="2:24">
      <c r="D20" s="91" t="str">
        <f>D10</f>
        <v>SUPELC</v>
      </c>
      <c r="E20" s="91"/>
      <c r="F20" s="91" t="str">
        <f>F10</f>
        <v>CO2DAC</v>
      </c>
      <c r="G20" s="91">
        <f>G10</f>
        <v>2030</v>
      </c>
      <c r="H20" s="91"/>
      <c r="I20" s="91">
        <f t="shared" si="0"/>
        <v>1.152E-3</v>
      </c>
      <c r="K20" s="91">
        <f>K10</f>
        <v>5.102739726027397</v>
      </c>
      <c r="L20" s="91">
        <f>L10</f>
        <v>0.2525856164383562</v>
      </c>
      <c r="M20" s="91"/>
      <c r="N20" s="91"/>
      <c r="O20" s="91">
        <f>O10</f>
        <v>0.95</v>
      </c>
      <c r="P20" s="91"/>
      <c r="Q20" s="91">
        <f>Q10</f>
        <v>20</v>
      </c>
      <c r="R20" s="91">
        <f>R10</f>
        <v>1</v>
      </c>
      <c r="U20" s="91"/>
      <c r="V20" s="91"/>
    </row>
    <row r="21" spans="2:24">
      <c r="D21" s="91" t="s">
        <v>767</v>
      </c>
      <c r="F21" s="91"/>
      <c r="G21" s="91"/>
      <c r="H21" s="91"/>
      <c r="I21" s="91">
        <f t="shared" si="0"/>
        <v>7.1999999999999998E-3</v>
      </c>
      <c r="J21" s="91"/>
      <c r="K21" s="91"/>
      <c r="L21" s="91"/>
      <c r="M21" s="91"/>
      <c r="N21" s="91"/>
      <c r="O21" s="91"/>
      <c r="P21" s="91"/>
      <c r="Q21" s="91"/>
      <c r="R21" s="91"/>
      <c r="U21" s="91" t="s">
        <v>767</v>
      </c>
      <c r="V21" s="91">
        <f>V11</f>
        <v>3.5999999999999999E-3</v>
      </c>
    </row>
    <row r="22" spans="2:24">
      <c r="D22" s="91" t="str">
        <f>D12</f>
        <v>SUPELC</v>
      </c>
      <c r="E22" s="91"/>
      <c r="F22" s="91" t="str">
        <f>F12</f>
        <v>CO2DAC</v>
      </c>
      <c r="G22" s="91">
        <f>G12</f>
        <v>2040</v>
      </c>
      <c r="H22" s="91"/>
      <c r="I22" s="91">
        <f t="shared" si="0"/>
        <v>1.08E-3</v>
      </c>
      <c r="K22" s="91">
        <f>K12</f>
        <v>4.2522831050228307</v>
      </c>
      <c r="L22" s="91">
        <f>L12</f>
        <v>0.21048801369863013</v>
      </c>
      <c r="M22" s="91"/>
      <c r="N22" s="91"/>
      <c r="O22" s="91">
        <f>O12</f>
        <v>0.95</v>
      </c>
      <c r="P22" s="91"/>
      <c r="Q22" s="91">
        <f>Q12</f>
        <v>20</v>
      </c>
      <c r="R22" s="91">
        <f>R12</f>
        <v>1</v>
      </c>
      <c r="U22" s="91"/>
      <c r="V22" s="91"/>
    </row>
    <row r="23" spans="2:24">
      <c r="D23" s="91" t="s">
        <v>767</v>
      </c>
      <c r="F23" s="91"/>
      <c r="G23" s="91"/>
      <c r="H23" s="91"/>
      <c r="I23" s="91">
        <f t="shared" si="0"/>
        <v>5.4000000000000003E-3</v>
      </c>
      <c r="J23" s="91"/>
      <c r="K23" s="91"/>
      <c r="L23" s="91"/>
      <c r="M23" s="91"/>
      <c r="N23" s="91"/>
      <c r="O23" s="91"/>
      <c r="P23" s="91"/>
      <c r="Q23" s="91"/>
      <c r="R23" s="91"/>
      <c r="U23" s="91" t="s">
        <v>767</v>
      </c>
      <c r="V23" s="91">
        <f>V13</f>
        <v>2.7000000000000001E-3</v>
      </c>
    </row>
    <row r="24" spans="2:24">
      <c r="D24" s="91" t="str">
        <f>D14</f>
        <v>SUPELC</v>
      </c>
      <c r="E24" s="91"/>
      <c r="F24" s="91" t="str">
        <f>F14</f>
        <v>CO2DAC</v>
      </c>
      <c r="G24" s="91">
        <f>G14</f>
        <v>2050</v>
      </c>
      <c r="H24" s="91"/>
      <c r="I24" s="91">
        <f t="shared" si="0"/>
        <v>1.0080000000000002E-3</v>
      </c>
      <c r="K24" s="91">
        <f>K14</f>
        <v>3.4018264840182648</v>
      </c>
      <c r="L24" s="91">
        <f>L14</f>
        <v>0.16839041095890411</v>
      </c>
      <c r="M24" s="91"/>
      <c r="N24" s="91"/>
      <c r="O24" s="91">
        <f>O14</f>
        <v>0.95</v>
      </c>
      <c r="P24" s="91"/>
      <c r="Q24" s="91">
        <f>Q14</f>
        <v>20</v>
      </c>
      <c r="R24" s="91">
        <f>R14</f>
        <v>1</v>
      </c>
      <c r="U24" s="91"/>
      <c r="V24" s="91"/>
    </row>
    <row r="25" spans="2:24">
      <c r="D25" s="91" t="s">
        <v>767</v>
      </c>
      <c r="F25" s="91"/>
      <c r="G25" s="91"/>
      <c r="H25" s="91"/>
      <c r="I25" s="91">
        <f t="shared" si="0"/>
        <v>5.4000000000000003E-3</v>
      </c>
      <c r="J25" s="91"/>
      <c r="K25" s="91"/>
      <c r="L25" s="91"/>
      <c r="M25" s="91"/>
      <c r="N25" s="91"/>
      <c r="O25" s="91"/>
      <c r="P25" s="91"/>
      <c r="Q25" s="91"/>
      <c r="R25" s="91"/>
      <c r="U25" s="91" t="s">
        <v>767</v>
      </c>
      <c r="V25" s="91">
        <f>V15</f>
        <v>2.7000000000000001E-3</v>
      </c>
    </row>
  </sheetData>
  <pageMargins left="0.7" right="0.7" top="0.75" bottom="0.75" header="0.3" footer="0.3"/>
  <pageSetup orientation="portrait" horizontalDpi="1200" verticalDpi="120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42D0B-6963-4D1B-B251-85B65E5D1D6F}">
  <sheetPr>
    <tabColor rgb="FF92D050"/>
  </sheetPr>
  <dimension ref="A2:S14"/>
  <sheetViews>
    <sheetView workbookViewId="0">
      <selection activeCell="F34" sqref="F34"/>
    </sheetView>
  </sheetViews>
  <sheetFormatPr defaultRowHeight="14.4"/>
  <cols>
    <col min="1" max="1" width="16.33203125" bestFit="1" customWidth="1"/>
    <col min="2" max="2" width="26" customWidth="1"/>
    <col min="3" max="3" width="26" style="91" customWidth="1"/>
    <col min="6" max="6" width="32.6640625" bestFit="1" customWidth="1"/>
    <col min="19" max="19" width="13.88671875" customWidth="1"/>
  </cols>
  <sheetData>
    <row r="2" spans="1:19">
      <c r="A2" s="74"/>
      <c r="B2" s="74"/>
      <c r="C2" s="74"/>
      <c r="D2" s="74"/>
      <c r="E2" s="74"/>
      <c r="F2" s="74"/>
      <c r="G2" s="74"/>
      <c r="H2" s="2" t="s">
        <v>0</v>
      </c>
      <c r="I2" s="74"/>
      <c r="J2" s="74"/>
      <c r="K2" s="74"/>
      <c r="L2" s="74"/>
      <c r="M2" s="74"/>
      <c r="N2" s="74"/>
      <c r="O2" s="74"/>
      <c r="P2" s="74"/>
      <c r="Q2" s="74"/>
      <c r="R2" s="91"/>
      <c r="S2" s="91"/>
    </row>
    <row r="3" spans="1:19">
      <c r="A3" s="85" t="s">
        <v>1</v>
      </c>
      <c r="B3" s="85" t="s">
        <v>2</v>
      </c>
      <c r="C3" s="85" t="s">
        <v>599</v>
      </c>
      <c r="D3" s="85" t="s">
        <v>3</v>
      </c>
      <c r="E3" s="85" t="s">
        <v>59</v>
      </c>
      <c r="F3" s="86" t="s">
        <v>4</v>
      </c>
      <c r="G3" s="85" t="s">
        <v>184</v>
      </c>
      <c r="H3" s="85" t="s">
        <v>5</v>
      </c>
      <c r="I3" s="85" t="s">
        <v>6</v>
      </c>
      <c r="J3" s="85" t="s">
        <v>167</v>
      </c>
      <c r="K3" s="85" t="s">
        <v>7</v>
      </c>
      <c r="L3" s="85" t="s">
        <v>8</v>
      </c>
      <c r="M3" s="85" t="s">
        <v>9</v>
      </c>
      <c r="N3" s="85" t="s">
        <v>10</v>
      </c>
      <c r="O3" s="85" t="s">
        <v>11</v>
      </c>
      <c r="P3" s="85" t="s">
        <v>12</v>
      </c>
      <c r="Q3" s="85" t="s">
        <v>19</v>
      </c>
      <c r="R3" s="85" t="s">
        <v>190</v>
      </c>
      <c r="S3" s="3" t="s">
        <v>172</v>
      </c>
    </row>
    <row r="4" spans="1:19" ht="57.6" customHeight="1">
      <c r="A4" s="83" t="s">
        <v>13</v>
      </c>
      <c r="B4" s="83"/>
      <c r="C4" s="83" t="s">
        <v>600</v>
      </c>
      <c r="D4" s="83" t="s">
        <v>67</v>
      </c>
      <c r="E4" s="83" t="s">
        <v>215</v>
      </c>
      <c r="F4" s="84" t="s">
        <v>68</v>
      </c>
      <c r="G4" s="83" t="s">
        <v>185</v>
      </c>
      <c r="H4" s="83"/>
      <c r="I4" s="83" t="s">
        <v>66</v>
      </c>
      <c r="J4" s="83" t="s">
        <v>221</v>
      </c>
      <c r="K4" s="83" t="s">
        <v>174</v>
      </c>
      <c r="L4" s="83" t="s">
        <v>63</v>
      </c>
      <c r="M4" s="83" t="s">
        <v>64</v>
      </c>
      <c r="N4" s="83" t="s">
        <v>65</v>
      </c>
      <c r="O4" s="83" t="s">
        <v>60</v>
      </c>
      <c r="P4" s="83" t="s">
        <v>61</v>
      </c>
      <c r="Q4" s="83" t="s">
        <v>62</v>
      </c>
      <c r="R4" s="83" t="s">
        <v>394</v>
      </c>
      <c r="S4" s="5" t="s">
        <v>178</v>
      </c>
    </row>
    <row r="5" spans="1:19" ht="15" thickBot="1">
      <c r="A5" s="165" t="s">
        <v>14</v>
      </c>
      <c r="B5" s="159"/>
      <c r="C5" s="159"/>
      <c r="D5" s="159"/>
      <c r="E5" s="159"/>
      <c r="F5" s="160"/>
      <c r="G5" s="159"/>
      <c r="H5" s="159"/>
      <c r="I5" s="159"/>
      <c r="J5" s="159" t="s">
        <v>222</v>
      </c>
      <c r="K5" s="159"/>
      <c r="L5" s="159" t="s">
        <v>219</v>
      </c>
      <c r="M5" s="159" t="s">
        <v>219</v>
      </c>
      <c r="N5" s="159" t="s">
        <v>220</v>
      </c>
      <c r="O5" s="159" t="s">
        <v>15</v>
      </c>
      <c r="P5" s="159" t="s">
        <v>15</v>
      </c>
      <c r="Q5" s="159" t="s">
        <v>16</v>
      </c>
      <c r="R5" s="159"/>
      <c r="S5" s="159" t="s">
        <v>181</v>
      </c>
    </row>
    <row r="6" spans="1:19">
      <c r="A6" s="89" t="str">
        <f>"IND"&amp;MID(F6,4,2)&amp;"CCS"&amp;MID(F6,7,2)&amp;RIGHT(D6,3)&amp;"R"</f>
        <v>INDHTCCSCOAR</v>
      </c>
      <c r="B6" s="75" t="s">
        <v>598</v>
      </c>
      <c r="C6" s="75" t="s">
        <v>611</v>
      </c>
      <c r="D6" s="75" t="s">
        <v>217</v>
      </c>
      <c r="E6" s="75"/>
      <c r="F6" s="75" t="s">
        <v>609</v>
      </c>
      <c r="G6" s="76"/>
      <c r="H6" s="75">
        <v>2020</v>
      </c>
      <c r="I6" s="75">
        <v>2025</v>
      </c>
      <c r="J6" s="91"/>
      <c r="K6" s="87">
        <v>0.60899999999999999</v>
      </c>
      <c r="L6" s="87">
        <f>9.685/2</f>
        <v>4.8425000000000002</v>
      </c>
      <c r="M6" s="87">
        <v>0.24212500000000003</v>
      </c>
      <c r="N6" s="87">
        <v>3.9319444444444445</v>
      </c>
      <c r="O6" s="68">
        <v>3.1536000000000002E-2</v>
      </c>
      <c r="P6" s="68">
        <v>0.95</v>
      </c>
      <c r="Q6" s="75">
        <v>20</v>
      </c>
      <c r="R6" s="91"/>
      <c r="S6" s="91">
        <v>2</v>
      </c>
    </row>
    <row r="7" spans="1:19">
      <c r="A7" s="54"/>
      <c r="B7" s="66"/>
      <c r="C7" s="66"/>
      <c r="D7" s="91"/>
      <c r="E7" s="75" t="s">
        <v>310</v>
      </c>
      <c r="F7" s="75"/>
      <c r="G7" s="76"/>
      <c r="H7" s="75">
        <v>2020</v>
      </c>
      <c r="I7" s="75"/>
      <c r="J7" s="194">
        <v>0.2391304347826087</v>
      </c>
      <c r="K7" s="87"/>
      <c r="L7" s="87"/>
      <c r="M7" s="87"/>
      <c r="N7" s="87"/>
      <c r="O7" s="68"/>
      <c r="P7" s="68"/>
      <c r="Q7" s="75"/>
      <c r="R7" s="91"/>
      <c r="S7" s="91"/>
    </row>
    <row r="8" spans="1:19">
      <c r="A8" s="54"/>
      <c r="B8" s="66"/>
      <c r="C8" s="66"/>
      <c r="D8" s="75"/>
      <c r="E8" s="75"/>
      <c r="F8" s="75"/>
      <c r="G8" s="74" t="s">
        <v>596</v>
      </c>
      <c r="H8" s="75">
        <v>2020</v>
      </c>
      <c r="I8" s="75"/>
      <c r="J8" s="91"/>
      <c r="K8" s="87"/>
      <c r="L8" s="87"/>
      <c r="M8" s="87"/>
      <c r="N8" s="87"/>
      <c r="O8" s="75"/>
      <c r="P8" s="75"/>
      <c r="Q8" s="75"/>
      <c r="R8" s="82">
        <v>132.03612479474549</v>
      </c>
      <c r="S8" s="91"/>
    </row>
    <row r="9" spans="1:19">
      <c r="A9" s="54"/>
      <c r="B9" s="75"/>
      <c r="C9" s="75"/>
      <c r="D9" s="75" t="s">
        <v>217</v>
      </c>
      <c r="E9" s="75"/>
      <c r="F9" s="75"/>
      <c r="G9" s="75"/>
      <c r="H9" s="75">
        <v>2030</v>
      </c>
      <c r="I9" s="75"/>
      <c r="J9" s="91"/>
      <c r="K9" s="87">
        <v>0.63700000000000001</v>
      </c>
      <c r="L9" s="87">
        <f>8.5675/2</f>
        <v>4.2837500000000004</v>
      </c>
      <c r="M9" s="87">
        <v>0.21418749999999995</v>
      </c>
      <c r="N9" s="87">
        <v>3.9319444444444445</v>
      </c>
      <c r="O9" s="75"/>
      <c r="P9" s="75"/>
      <c r="Q9" s="75"/>
      <c r="R9" s="82"/>
      <c r="S9" s="91"/>
    </row>
    <row r="10" spans="1:19">
      <c r="A10" s="54"/>
      <c r="B10" s="75"/>
      <c r="C10" s="75"/>
      <c r="D10" s="75"/>
      <c r="E10" s="75" t="s">
        <v>310</v>
      </c>
      <c r="F10" s="75"/>
      <c r="G10" s="75"/>
      <c r="H10" s="75">
        <v>2030</v>
      </c>
      <c r="I10" s="75"/>
      <c r="J10" s="194">
        <v>0.20833333333333334</v>
      </c>
      <c r="K10" s="87"/>
      <c r="L10" s="87"/>
      <c r="M10" s="87"/>
      <c r="N10" s="87"/>
      <c r="O10" s="75"/>
      <c r="P10" s="75"/>
      <c r="Q10" s="75"/>
      <c r="R10" s="82"/>
      <c r="S10" s="91"/>
    </row>
    <row r="11" spans="1:19">
      <c r="A11" s="54"/>
      <c r="B11" s="75"/>
      <c r="C11" s="75"/>
      <c r="D11" s="75"/>
      <c r="E11" s="75"/>
      <c r="F11" s="75"/>
      <c r="G11" s="75" t="s">
        <v>596</v>
      </c>
      <c r="H11" s="75">
        <v>2030</v>
      </c>
      <c r="I11" s="75"/>
      <c r="J11" s="91"/>
      <c r="K11" s="87"/>
      <c r="L11" s="87"/>
      <c r="M11" s="87"/>
      <c r="N11" s="87"/>
      <c r="O11" s="75"/>
      <c r="P11" s="75"/>
      <c r="Q11" s="75"/>
      <c r="R11" s="82">
        <v>126.23233908948194</v>
      </c>
      <c r="S11" s="91"/>
    </row>
    <row r="12" spans="1:19">
      <c r="A12" s="54"/>
      <c r="B12" s="75"/>
      <c r="C12" s="75"/>
      <c r="D12" s="75" t="s">
        <v>217</v>
      </c>
      <c r="E12" s="75"/>
      <c r="F12" s="75"/>
      <c r="G12" s="75"/>
      <c r="H12" s="75">
        <v>2050</v>
      </c>
      <c r="I12" s="75"/>
      <c r="J12" s="194"/>
      <c r="K12" s="87">
        <v>0.66499999999999992</v>
      </c>
      <c r="L12" s="87">
        <f>8.5675/2</f>
        <v>4.2837500000000004</v>
      </c>
      <c r="M12" s="87">
        <v>0.21418749999999995</v>
      </c>
      <c r="N12" s="87">
        <v>3.9319444444444445</v>
      </c>
      <c r="O12" s="75"/>
      <c r="P12" s="75"/>
      <c r="Q12" s="75"/>
      <c r="R12" s="82"/>
      <c r="S12" s="91"/>
    </row>
    <row r="13" spans="1:19">
      <c r="E13" t="s">
        <v>310</v>
      </c>
      <c r="H13">
        <v>2050</v>
      </c>
      <c r="J13">
        <v>0.20833333333333334</v>
      </c>
    </row>
    <row r="14" spans="1:19">
      <c r="D14" s="75"/>
      <c r="E14" s="75"/>
      <c r="F14" s="75"/>
      <c r="G14" s="75" t="s">
        <v>596</v>
      </c>
      <c r="H14" s="75">
        <v>2050</v>
      </c>
      <c r="I14" s="75"/>
      <c r="J14" s="91"/>
      <c r="K14" s="87"/>
      <c r="L14" s="87"/>
      <c r="M14" s="87"/>
      <c r="N14" s="87"/>
      <c r="O14" s="75"/>
      <c r="P14" s="75"/>
      <c r="Q14" s="75"/>
      <c r="R14" s="82">
        <v>126.23233908948194</v>
      </c>
      <c r="S14" s="91"/>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AN94"/>
  <sheetViews>
    <sheetView tabSelected="1" topLeftCell="A57" workbookViewId="0">
      <selection activeCell="E64" sqref="E64"/>
    </sheetView>
  </sheetViews>
  <sheetFormatPr defaultRowHeight="14.4"/>
  <cols>
    <col min="1" max="1" width="15.88671875" bestFit="1" customWidth="1"/>
    <col min="2" max="2" width="42.6640625" bestFit="1" customWidth="1"/>
    <col min="3" max="3" width="14.6640625" bestFit="1" customWidth="1"/>
    <col min="4" max="4" width="12.109375" bestFit="1" customWidth="1"/>
    <col min="7" max="7" width="9.109375" style="91"/>
  </cols>
  <sheetData>
    <row r="1" spans="1:29" s="66" customFormat="1">
      <c r="A1" s="74"/>
      <c r="B1" s="74"/>
      <c r="C1" s="74"/>
      <c r="D1" s="74"/>
      <c r="E1" s="2" t="s">
        <v>0</v>
      </c>
      <c r="F1" s="74"/>
      <c r="G1" s="74"/>
      <c r="H1" s="74"/>
      <c r="I1" s="55"/>
      <c r="J1" s="74"/>
      <c r="P1" s="34"/>
      <c r="Q1" s="34"/>
    </row>
    <row r="2" spans="1:29" s="66" customFormat="1" ht="28.8">
      <c r="A2" s="3" t="s">
        <v>1</v>
      </c>
      <c r="B2" s="3" t="s">
        <v>2</v>
      </c>
      <c r="C2" s="3" t="s">
        <v>3</v>
      </c>
      <c r="D2" s="163" t="s">
        <v>4</v>
      </c>
      <c r="E2" s="3" t="s">
        <v>5</v>
      </c>
      <c r="F2" s="3" t="s">
        <v>6</v>
      </c>
      <c r="G2" s="56" t="s">
        <v>7</v>
      </c>
      <c r="H2" s="3" t="s">
        <v>11</v>
      </c>
      <c r="I2" s="56" t="s">
        <v>12</v>
      </c>
      <c r="J2" s="3" t="s">
        <v>19</v>
      </c>
      <c r="K2" s="3" t="s">
        <v>8</v>
      </c>
      <c r="L2" s="3" t="s">
        <v>9</v>
      </c>
      <c r="M2" s="3" t="s">
        <v>381</v>
      </c>
      <c r="N2" s="126"/>
      <c r="O2" s="126"/>
      <c r="P2" s="34"/>
      <c r="Q2" s="34"/>
      <c r="R2" s="34"/>
      <c r="S2" s="34"/>
      <c r="T2" s="34"/>
      <c r="U2" s="34"/>
      <c r="V2" s="34"/>
      <c r="W2" s="34"/>
      <c r="X2" s="34"/>
      <c r="Y2" s="34"/>
      <c r="Z2" s="34"/>
      <c r="AA2" s="34"/>
      <c r="AB2" s="34"/>
    </row>
    <row r="3" spans="1:29" s="1" customFormat="1" ht="87" customHeight="1">
      <c r="A3" s="5" t="s">
        <v>13</v>
      </c>
      <c r="B3" s="5"/>
      <c r="C3" s="5" t="s">
        <v>67</v>
      </c>
      <c r="D3" s="164" t="s">
        <v>68</v>
      </c>
      <c r="E3" s="5"/>
      <c r="F3" s="5" t="s">
        <v>66</v>
      </c>
      <c r="G3" s="5"/>
      <c r="H3" s="5" t="s">
        <v>60</v>
      </c>
      <c r="I3" s="57" t="s">
        <v>61</v>
      </c>
      <c r="J3" s="5" t="s">
        <v>62</v>
      </c>
      <c r="K3" s="5" t="s">
        <v>382</v>
      </c>
      <c r="L3" s="5" t="s">
        <v>383</v>
      </c>
      <c r="M3" s="5"/>
      <c r="N3" s="157"/>
      <c r="O3" s="157"/>
      <c r="P3" s="158" t="s">
        <v>384</v>
      </c>
      <c r="Q3" s="34"/>
      <c r="R3" s="127"/>
      <c r="S3" s="34"/>
      <c r="T3" s="34"/>
      <c r="U3" s="34"/>
      <c r="V3" s="34"/>
      <c r="W3" s="34"/>
      <c r="X3" s="34"/>
      <c r="Y3" s="34"/>
      <c r="Z3" s="34"/>
      <c r="AA3" s="34"/>
      <c r="AB3" s="34"/>
      <c r="AC3" s="34"/>
    </row>
    <row r="4" spans="1:29" s="66" customFormat="1" ht="15" thickBot="1">
      <c r="A4" s="165" t="s">
        <v>14</v>
      </c>
      <c r="B4" s="159"/>
      <c r="C4" s="159"/>
      <c r="D4" s="160"/>
      <c r="E4" s="159"/>
      <c r="F4" s="159"/>
      <c r="G4" s="159"/>
      <c r="H4" s="159" t="s">
        <v>15</v>
      </c>
      <c r="I4" s="161" t="s">
        <v>15</v>
      </c>
      <c r="J4" s="159" t="s">
        <v>16</v>
      </c>
      <c r="K4" s="159" t="s">
        <v>385</v>
      </c>
      <c r="L4" s="159" t="s">
        <v>386</v>
      </c>
      <c r="M4" s="159" t="s">
        <v>387</v>
      </c>
      <c r="N4" s="162"/>
      <c r="O4" s="162"/>
      <c r="P4" s="34"/>
      <c r="Q4" s="34"/>
      <c r="R4" s="34"/>
      <c r="S4" s="34"/>
      <c r="T4" s="34"/>
      <c r="U4" s="34"/>
      <c r="V4" s="34"/>
      <c r="W4" s="34"/>
      <c r="X4" s="34"/>
      <c r="Y4" s="34"/>
      <c r="Z4" s="34"/>
      <c r="AA4" s="34"/>
      <c r="AB4" s="34"/>
    </row>
    <row r="5" spans="1:29" s="66" customFormat="1">
      <c r="A5" s="74" t="str">
        <f>ELC_CCS_Processes!C45</f>
        <v>CSTRAPDK1DTS</v>
      </c>
      <c r="B5" s="74" t="str">
        <f>ELC_CCS_Processes!D45</f>
        <v>Transport technology by pipeline from DK1 to DTS</v>
      </c>
      <c r="C5" s="74" t="s">
        <v>312</v>
      </c>
      <c r="D5" s="74" t="str">
        <f t="shared" ref="D5:D20" si="0">"CO2STO"&amp;RIGHT(A5,3)</f>
        <v>CO2STODTS</v>
      </c>
      <c r="E5" s="74">
        <v>2020</v>
      </c>
      <c r="F5" s="74">
        <v>2020</v>
      </c>
      <c r="G5" s="74">
        <v>1</v>
      </c>
      <c r="H5" s="59">
        <v>1</v>
      </c>
      <c r="I5" s="58">
        <v>0.85</v>
      </c>
      <c r="J5" s="66">
        <v>40</v>
      </c>
      <c r="K5" s="34">
        <f>IF(RIGHT(D5)="S",$S$38,$S$41)*'Data_Dist_&amp;_CAP'!H13*7.45/$R$60</f>
        <v>9.3624540940073539E-2</v>
      </c>
      <c r="L5" s="66">
        <f>K5*0.01</f>
        <v>9.3624540940073536E-4</v>
      </c>
      <c r="M5" s="34"/>
      <c r="N5" s="34"/>
      <c r="O5" s="34"/>
      <c r="P5" s="74">
        <f>-1*PMT(4%,40,K5*1000)+K5*0.01*1000</f>
        <v>5.6664839040904722</v>
      </c>
      <c r="Q5" s="166"/>
      <c r="R5" s="34"/>
      <c r="S5" s="34"/>
      <c r="AA5" s="34"/>
      <c r="AB5" s="34"/>
    </row>
    <row r="6" spans="1:29" s="66" customFormat="1">
      <c r="A6" s="74"/>
      <c r="B6" s="74"/>
      <c r="C6" s="74" t="s">
        <v>594</v>
      </c>
      <c r="D6" s="74"/>
      <c r="E6" s="74"/>
      <c r="F6" s="74"/>
      <c r="G6" s="74"/>
      <c r="H6" s="59"/>
      <c r="I6" s="58"/>
      <c r="K6" s="34"/>
      <c r="M6" s="34"/>
      <c r="N6" s="34"/>
      <c r="O6" s="34"/>
      <c r="P6" s="74"/>
      <c r="Q6" s="166"/>
      <c r="R6" s="34"/>
      <c r="S6" s="34"/>
      <c r="AA6" s="34"/>
      <c r="AB6" s="34"/>
    </row>
    <row r="7" spans="1:29" s="66" customFormat="1">
      <c r="A7" s="74"/>
      <c r="B7" s="74"/>
      <c r="C7" s="74" t="s">
        <v>596</v>
      </c>
      <c r="D7" s="74"/>
      <c r="E7" s="74"/>
      <c r="F7" s="74"/>
      <c r="G7" s="74"/>
      <c r="H7" s="59"/>
      <c r="I7" s="58"/>
      <c r="K7" s="34"/>
      <c r="M7" s="34"/>
      <c r="N7" s="34"/>
      <c r="O7" s="34"/>
      <c r="P7" s="74"/>
      <c r="Q7" s="166"/>
      <c r="R7" s="34"/>
      <c r="S7" s="34"/>
      <c r="AA7" s="34"/>
      <c r="AB7" s="34"/>
    </row>
    <row r="8" spans="1:29" s="66" customFormat="1">
      <c r="A8" s="74" t="str">
        <f>ELC_CCS_Processes!C46</f>
        <v>CSTRAPDK1DGS</v>
      </c>
      <c r="B8" s="74" t="str">
        <f>ELC_CCS_Processes!D46</f>
        <v>Transport technology by pipeline from DK1 to DGS</v>
      </c>
      <c r="C8" s="74" t="s">
        <v>312</v>
      </c>
      <c r="D8" s="74" t="str">
        <f t="shared" si="0"/>
        <v>CO2STODGS</v>
      </c>
      <c r="E8" s="74">
        <v>2020</v>
      </c>
      <c r="F8" s="74">
        <v>2020</v>
      </c>
      <c r="G8" s="74">
        <v>1</v>
      </c>
      <c r="H8" s="59">
        <v>1</v>
      </c>
      <c r="I8" s="58">
        <v>0.85</v>
      </c>
      <c r="J8" s="66">
        <v>40</v>
      </c>
      <c r="K8" s="34">
        <f>IF(RIGHT(D8)="S",$S$38,$S$41)*'Data_Dist_&amp;_CAP'!H14*7.45/$R$60</f>
        <v>7.6069939513809734E-2</v>
      </c>
      <c r="L8" s="66">
        <f t="shared" ref="L8:L26" si="1">K8*0.01</f>
        <v>7.6069939513809736E-4</v>
      </c>
      <c r="M8" s="34"/>
      <c r="N8" s="34"/>
      <c r="O8" s="34"/>
      <c r="P8" s="74">
        <f t="shared" ref="P8:P26" si="2">-1*PMT(4%,40,K8*1000)+K8*0.01*1000</f>
        <v>4.6040181720735074</v>
      </c>
      <c r="Q8" s="166"/>
      <c r="R8" s="91"/>
      <c r="S8" s="91"/>
      <c r="T8" s="91"/>
      <c r="U8" s="91"/>
      <c r="V8" s="91"/>
      <c r="W8" s="91"/>
      <c r="X8" s="91"/>
      <c r="Y8" s="34"/>
      <c r="Z8" s="34"/>
      <c r="AA8" s="34"/>
      <c r="AB8" s="34"/>
    </row>
    <row r="9" spans="1:29" s="66" customFormat="1">
      <c r="A9" s="74"/>
      <c r="B9" s="74"/>
      <c r="C9" s="74" t="s">
        <v>594</v>
      </c>
      <c r="D9" s="74"/>
      <c r="E9" s="74"/>
      <c r="F9" s="74"/>
      <c r="G9" s="74"/>
      <c r="H9" s="59"/>
      <c r="I9" s="58"/>
      <c r="K9" s="34"/>
      <c r="M9" s="34"/>
      <c r="N9" s="34"/>
      <c r="O9" s="34"/>
      <c r="P9" s="74"/>
      <c r="Q9" s="166"/>
      <c r="R9" s="34"/>
      <c r="S9" s="34"/>
      <c r="AA9" s="34"/>
      <c r="AB9" s="34"/>
    </row>
    <row r="10" spans="1:29" s="66" customFormat="1">
      <c r="A10" s="74"/>
      <c r="B10" s="74"/>
      <c r="C10" s="74" t="s">
        <v>596</v>
      </c>
      <c r="D10" s="74"/>
      <c r="E10" s="74"/>
      <c r="F10" s="74"/>
      <c r="G10" s="74"/>
      <c r="H10" s="59"/>
      <c r="I10" s="58"/>
      <c r="K10" s="34"/>
      <c r="M10" s="34"/>
      <c r="N10" s="34"/>
      <c r="O10" s="34"/>
      <c r="P10" s="74"/>
      <c r="Q10" s="166"/>
      <c r="R10" s="34"/>
      <c r="S10" s="34"/>
      <c r="AA10" s="34"/>
      <c r="AB10" s="34"/>
    </row>
    <row r="11" spans="1:29" s="66" customFormat="1">
      <c r="A11" s="74" t="str">
        <f>ELC_CCS_Processes!C47</f>
        <v>CSTRAPDK1DGA</v>
      </c>
      <c r="B11" s="74" t="str">
        <f>ELC_CCS_Processes!D47</f>
        <v>Transport technology by pipeline from DK1 to DGA</v>
      </c>
      <c r="C11" s="74" t="s">
        <v>312</v>
      </c>
      <c r="D11" s="74" t="str">
        <f t="shared" si="0"/>
        <v>CO2STODGA</v>
      </c>
      <c r="E11" s="74">
        <v>2020</v>
      </c>
      <c r="F11" s="74">
        <v>2020</v>
      </c>
      <c r="G11" s="74">
        <v>1</v>
      </c>
      <c r="H11" s="59">
        <v>1</v>
      </c>
      <c r="I11" s="58">
        <v>0.85</v>
      </c>
      <c r="J11" s="66">
        <v>40</v>
      </c>
      <c r="K11" s="34">
        <f>IF(RIGHT(D11)="S",$S$38,$S$41)*'Data_Dist_&amp;_CAP'!H15*7.45/$R$60</f>
        <v>0.1404368114101103</v>
      </c>
      <c r="L11" s="66">
        <f t="shared" si="1"/>
        <v>1.4043681141011029E-3</v>
      </c>
      <c r="M11" s="34"/>
      <c r="N11" s="34"/>
      <c r="O11" s="34"/>
      <c r="P11" s="74">
        <f t="shared" si="2"/>
        <v>8.4997258561357079</v>
      </c>
      <c r="Q11" s="166"/>
      <c r="R11" s="91"/>
      <c r="S11" s="91"/>
      <c r="T11" s="91"/>
      <c r="U11" s="91"/>
      <c r="V11" s="91"/>
      <c r="W11" s="91"/>
      <c r="X11" s="91"/>
      <c r="Y11" s="34"/>
      <c r="Z11" s="34"/>
      <c r="AA11" s="34"/>
      <c r="AB11" s="34"/>
    </row>
    <row r="12" spans="1:29" s="66" customFormat="1">
      <c r="A12" s="74"/>
      <c r="B12" s="74"/>
      <c r="C12" s="74" t="s">
        <v>594</v>
      </c>
      <c r="D12" s="74"/>
      <c r="E12" s="74"/>
      <c r="F12" s="74"/>
      <c r="G12" s="74"/>
      <c r="H12" s="59"/>
      <c r="I12" s="58"/>
      <c r="K12" s="34"/>
      <c r="M12" s="34"/>
      <c r="N12" s="34"/>
      <c r="O12" s="34"/>
      <c r="P12" s="74"/>
      <c r="Q12" s="166"/>
      <c r="R12" s="34"/>
      <c r="S12" s="34"/>
      <c r="AA12" s="34"/>
      <c r="AB12" s="34"/>
    </row>
    <row r="13" spans="1:29" s="66" customFormat="1">
      <c r="A13" s="74"/>
      <c r="B13" s="74"/>
      <c r="C13" s="74" t="s">
        <v>596</v>
      </c>
      <c r="D13" s="74"/>
      <c r="E13" s="74"/>
      <c r="F13" s="74"/>
      <c r="G13" s="74"/>
      <c r="H13" s="59"/>
      <c r="I13" s="58"/>
      <c r="K13" s="34"/>
      <c r="M13" s="34"/>
      <c r="N13" s="34"/>
      <c r="O13" s="34"/>
      <c r="P13" s="74"/>
      <c r="Q13" s="166"/>
      <c r="R13" s="34"/>
      <c r="S13" s="34"/>
      <c r="AA13" s="34"/>
      <c r="AB13" s="34"/>
    </row>
    <row r="14" spans="1:29" s="66" customFormat="1">
      <c r="A14" s="74" t="str">
        <f>ELC_CCS_Processes!C48</f>
        <v>CSTRAPDK1NSF</v>
      </c>
      <c r="B14" s="74" t="str">
        <f>ELC_CCS_Processes!D48</f>
        <v>Transport technology by pipeline from DK1 to NSF</v>
      </c>
      <c r="C14" s="74" t="s">
        <v>312</v>
      </c>
      <c r="D14" s="74" t="str">
        <f t="shared" si="0"/>
        <v>CO2STONSF</v>
      </c>
      <c r="E14" s="74">
        <v>2020</v>
      </c>
      <c r="F14" s="74">
        <v>2020</v>
      </c>
      <c r="G14" s="74">
        <v>1</v>
      </c>
      <c r="H14" s="59">
        <v>1</v>
      </c>
      <c r="I14" s="58">
        <v>0.85</v>
      </c>
      <c r="J14" s="66">
        <v>40</v>
      </c>
      <c r="K14" s="34">
        <f>IF(RIGHT(D14)="S",$S$38,$S$41)*'Data_Dist_&amp;_CAP'!H16*7.45/$R$60</f>
        <v>0.70218405705055142</v>
      </c>
      <c r="L14" s="66">
        <f t="shared" si="1"/>
        <v>7.021840570505514E-3</v>
      </c>
      <c r="M14" s="34"/>
      <c r="N14" s="34"/>
      <c r="O14" s="34"/>
      <c r="P14" s="74">
        <f t="shared" si="2"/>
        <v>42.498629280678543</v>
      </c>
      <c r="Q14" s="166"/>
      <c r="R14" s="167" t="s">
        <v>363</v>
      </c>
      <c r="S14" s="91"/>
      <c r="T14" s="91"/>
      <c r="U14" s="91"/>
      <c r="V14" s="91"/>
      <c r="W14" s="91"/>
      <c r="X14" s="91"/>
      <c r="Y14" s="34"/>
      <c r="Z14" s="34"/>
      <c r="AA14" s="34"/>
      <c r="AB14" s="34"/>
    </row>
    <row r="15" spans="1:29" s="66" customFormat="1">
      <c r="A15" s="74"/>
      <c r="B15" s="74"/>
      <c r="C15" s="74" t="s">
        <v>594</v>
      </c>
      <c r="D15" s="74"/>
      <c r="E15" s="74"/>
      <c r="F15" s="74"/>
      <c r="G15" s="74"/>
      <c r="H15" s="59"/>
      <c r="I15" s="58"/>
      <c r="K15" s="34"/>
      <c r="M15" s="34"/>
      <c r="N15" s="34"/>
      <c r="O15" s="34"/>
      <c r="P15" s="74"/>
      <c r="Q15" s="166"/>
      <c r="R15" s="34"/>
      <c r="S15" s="34"/>
      <c r="AA15" s="34"/>
      <c r="AB15" s="34"/>
    </row>
    <row r="16" spans="1:29" s="66" customFormat="1">
      <c r="A16" s="74"/>
      <c r="B16" s="74"/>
      <c r="C16" s="74" t="s">
        <v>596</v>
      </c>
      <c r="D16" s="74"/>
      <c r="E16" s="74"/>
      <c r="F16" s="74"/>
      <c r="G16" s="74"/>
      <c r="H16" s="59"/>
      <c r="I16" s="58"/>
      <c r="K16" s="34"/>
      <c r="M16" s="34"/>
      <c r="N16" s="34"/>
      <c r="O16" s="34"/>
      <c r="P16" s="74"/>
      <c r="Q16" s="166"/>
      <c r="R16" s="34"/>
      <c r="S16" s="34"/>
      <c r="AA16" s="34"/>
      <c r="AB16" s="34"/>
    </row>
    <row r="17" spans="1:28" s="66" customFormat="1">
      <c r="A17" s="74" t="str">
        <f>ELC_CCS_Processes!C49</f>
        <v>CSTRAPDK1DHF</v>
      </c>
      <c r="B17" s="74" t="str">
        <f>ELC_CCS_Processes!D49</f>
        <v>Transport technology by pipeline from DK1 to DHF</v>
      </c>
      <c r="C17" s="74" t="s">
        <v>312</v>
      </c>
      <c r="D17" s="74" t="str">
        <f t="shared" si="0"/>
        <v>CO2STODHF</v>
      </c>
      <c r="E17" s="74">
        <v>2020</v>
      </c>
      <c r="F17" s="74">
        <v>2020</v>
      </c>
      <c r="G17" s="74">
        <v>1</v>
      </c>
      <c r="H17" s="59">
        <v>1</v>
      </c>
      <c r="I17" s="58">
        <v>0.85</v>
      </c>
      <c r="J17" s="66">
        <v>40</v>
      </c>
      <c r="K17" s="34">
        <f>IF(RIGHT(D17)="S",$S$38,$S$41)*'Data_Dist_&amp;_CAP'!H17*7.45/$R$60</f>
        <v>0.2808736228202206</v>
      </c>
      <c r="L17" s="66">
        <f t="shared" ref="L17" si="3">K17*0.01</f>
        <v>2.8087362282022059E-3</v>
      </c>
      <c r="M17" s="34"/>
      <c r="N17" s="34"/>
      <c r="O17" s="34"/>
      <c r="P17" s="74">
        <f t="shared" ref="P17" si="4">-1*PMT(4%,40,K17*1000)+K17*0.01*1000</f>
        <v>16.999451712271416</v>
      </c>
      <c r="Q17" s="166"/>
      <c r="R17" s="91"/>
      <c r="S17" s="91"/>
      <c r="T17" s="91"/>
      <c r="U17" s="91"/>
      <c r="V17" s="91"/>
      <c r="W17" s="91"/>
      <c r="X17" s="91"/>
      <c r="Y17" s="34"/>
      <c r="Z17" s="34"/>
      <c r="AA17" s="34"/>
      <c r="AB17" s="34"/>
    </row>
    <row r="18" spans="1:28" s="66" customFormat="1">
      <c r="A18" s="74"/>
      <c r="B18" s="74"/>
      <c r="C18" s="74" t="s">
        <v>594</v>
      </c>
      <c r="D18" s="74"/>
      <c r="E18" s="74"/>
      <c r="F18" s="74"/>
      <c r="G18" s="74"/>
      <c r="H18" s="59"/>
      <c r="I18" s="58"/>
      <c r="K18" s="34"/>
      <c r="M18" s="34"/>
      <c r="N18" s="34"/>
      <c r="O18" s="34"/>
      <c r="P18" s="74"/>
      <c r="Q18" s="166"/>
      <c r="R18" s="34"/>
      <c r="S18" s="34"/>
      <c r="AA18" s="34"/>
      <c r="AB18" s="34"/>
    </row>
    <row r="19" spans="1:28" s="66" customFormat="1">
      <c r="A19" s="74"/>
      <c r="B19" s="74"/>
      <c r="C19" s="74" t="s">
        <v>596</v>
      </c>
      <c r="D19" s="74"/>
      <c r="E19" s="74"/>
      <c r="F19" s="74"/>
      <c r="G19" s="74"/>
      <c r="H19" s="59"/>
      <c r="I19" s="58"/>
      <c r="K19" s="34"/>
      <c r="M19" s="34"/>
      <c r="N19" s="34"/>
      <c r="O19" s="34"/>
      <c r="P19" s="74"/>
      <c r="Q19" s="166"/>
      <c r="R19" s="34"/>
      <c r="S19" s="34"/>
      <c r="AA19" s="34"/>
      <c r="AB19" s="34"/>
    </row>
    <row r="20" spans="1:28" s="66" customFormat="1">
      <c r="A20" s="74" t="str">
        <f>ELC_CCS_Processes!C51</f>
        <v>CSTRAPDK2DZS</v>
      </c>
      <c r="B20" s="74" t="str">
        <f>ELC_CCS_Processes!D51</f>
        <v>Transport technology by pipeline from DK2 to DZS</v>
      </c>
      <c r="C20" s="74" t="s">
        <v>312</v>
      </c>
      <c r="D20" s="74" t="str">
        <f t="shared" si="0"/>
        <v>CO2STODZS</v>
      </c>
      <c r="E20" s="74">
        <v>2020</v>
      </c>
      <c r="F20" s="74">
        <v>2020</v>
      </c>
      <c r="G20" s="74">
        <v>1</v>
      </c>
      <c r="H20" s="59">
        <v>1</v>
      </c>
      <c r="I20" s="58">
        <v>0.85</v>
      </c>
      <c r="J20" s="66">
        <v>40</v>
      </c>
      <c r="K20" s="34">
        <f>IF(RIGHT(D20)="S",$S$38,$S$41)*'Data_Dist_&amp;_CAP'!H18*7.45/$R$60</f>
        <v>7.0218405705055151E-2</v>
      </c>
      <c r="L20" s="66">
        <f t="shared" si="1"/>
        <v>7.0218405705055147E-4</v>
      </c>
      <c r="M20" s="34"/>
      <c r="N20" s="34"/>
      <c r="O20" s="34"/>
      <c r="P20" s="74">
        <f t="shared" si="2"/>
        <v>4.2498629280678539</v>
      </c>
      <c r="Q20" s="166"/>
      <c r="R20" s="91" t="s">
        <v>364</v>
      </c>
      <c r="S20" s="91"/>
      <c r="T20" s="91"/>
      <c r="U20" s="91"/>
      <c r="V20" s="91"/>
      <c r="W20" s="91"/>
      <c r="X20" s="91"/>
      <c r="Y20" s="34"/>
      <c r="Z20" s="34"/>
      <c r="AA20" s="34"/>
      <c r="AB20" s="34"/>
    </row>
    <row r="21" spans="1:28" s="66" customFormat="1">
      <c r="A21" s="74"/>
      <c r="B21" s="74"/>
      <c r="C21" s="74" t="s">
        <v>594</v>
      </c>
      <c r="D21" s="74"/>
      <c r="E21" s="74"/>
      <c r="F21" s="74"/>
      <c r="G21" s="74"/>
      <c r="H21" s="59"/>
      <c r="I21" s="58"/>
      <c r="K21" s="34"/>
      <c r="M21" s="34"/>
      <c r="N21" s="34"/>
      <c r="O21" s="34"/>
      <c r="P21" s="74"/>
      <c r="Q21" s="166"/>
      <c r="R21" s="34"/>
      <c r="S21" s="34"/>
      <c r="AA21" s="34"/>
      <c r="AB21" s="34"/>
    </row>
    <row r="22" spans="1:28" s="66" customFormat="1">
      <c r="A22" s="74"/>
      <c r="B22" s="74"/>
      <c r="C22" s="74" t="s">
        <v>596</v>
      </c>
      <c r="D22" s="74"/>
      <c r="E22" s="74"/>
      <c r="F22" s="74"/>
      <c r="G22" s="74"/>
      <c r="H22" s="59"/>
      <c r="I22" s="58"/>
      <c r="K22" s="34"/>
      <c r="M22" s="34"/>
      <c r="N22" s="34"/>
      <c r="O22" s="34"/>
      <c r="P22" s="74"/>
      <c r="Q22" s="166"/>
      <c r="R22" s="34"/>
      <c r="S22" s="34"/>
      <c r="AA22" s="34"/>
      <c r="AB22" s="34"/>
    </row>
    <row r="23" spans="1:28" s="66" customFormat="1">
      <c r="A23" s="74" t="str">
        <f>ELC_CCS_Processes!C52</f>
        <v>CSTRAPDK2NSF</v>
      </c>
      <c r="B23" s="74" t="str">
        <f>ELC_CCS_Processes!D52</f>
        <v>Transport technology by pipeline from DK2 to NSF</v>
      </c>
      <c r="C23" s="74" t="s">
        <v>312</v>
      </c>
      <c r="D23" s="74" t="str">
        <f t="shared" ref="D23:D53" si="5">"CO2STO"&amp;RIGHT(A23,3)</f>
        <v>CO2STONSF</v>
      </c>
      <c r="E23" s="74">
        <v>2020</v>
      </c>
      <c r="F23" s="74">
        <v>2020</v>
      </c>
      <c r="G23" s="74">
        <v>1</v>
      </c>
      <c r="H23" s="59">
        <v>1</v>
      </c>
      <c r="I23" s="58">
        <v>0.85</v>
      </c>
      <c r="J23" s="66">
        <v>40</v>
      </c>
      <c r="K23" s="34">
        <f>IF(RIGHT(D23)="S",$S$38,$S$41)*'Data_Dist_&amp;_CAP'!H19*7.45/$R$60</f>
        <v>1.2639313026909926</v>
      </c>
      <c r="L23" s="66">
        <f t="shared" si="1"/>
        <v>1.2639313026909927E-2</v>
      </c>
      <c r="M23" s="34"/>
      <c r="N23" s="34"/>
      <c r="O23" s="34"/>
      <c r="P23" s="74">
        <f t="shared" si="2"/>
        <v>76.497532705221374</v>
      </c>
      <c r="Q23" s="166"/>
      <c r="R23" s="91" t="s">
        <v>365</v>
      </c>
      <c r="S23" s="91"/>
      <c r="T23" s="91"/>
      <c r="U23" s="91"/>
      <c r="V23" s="91"/>
      <c r="W23" s="91"/>
      <c r="X23" s="91"/>
      <c r="Y23" s="34"/>
      <c r="Z23" s="34"/>
      <c r="AA23" s="34"/>
      <c r="AB23" s="34"/>
    </row>
    <row r="24" spans="1:28" s="66" customFormat="1">
      <c r="A24" s="74"/>
      <c r="B24" s="74"/>
      <c r="C24" s="74" t="s">
        <v>594</v>
      </c>
      <c r="D24" s="74"/>
      <c r="E24" s="74"/>
      <c r="F24" s="74"/>
      <c r="G24" s="74"/>
      <c r="H24" s="59"/>
      <c r="I24" s="58"/>
      <c r="K24" s="34"/>
      <c r="M24" s="34"/>
      <c r="N24" s="34"/>
      <c r="O24" s="34"/>
      <c r="P24" s="74"/>
      <c r="Q24" s="166"/>
      <c r="R24" s="34"/>
      <c r="S24" s="34"/>
      <c r="AA24" s="34"/>
      <c r="AB24" s="34"/>
    </row>
    <row r="25" spans="1:28" s="66" customFormat="1">
      <c r="A25" s="74"/>
      <c r="B25" s="74"/>
      <c r="C25" s="74" t="s">
        <v>596</v>
      </c>
      <c r="D25" s="74"/>
      <c r="E25" s="74"/>
      <c r="F25" s="74"/>
      <c r="G25" s="74"/>
      <c r="H25" s="59"/>
      <c r="I25" s="58"/>
      <c r="K25" s="34"/>
      <c r="M25" s="34"/>
      <c r="N25" s="34"/>
      <c r="O25" s="34"/>
      <c r="P25" s="74"/>
      <c r="Q25" s="166"/>
      <c r="R25" s="34"/>
      <c r="S25" s="34"/>
      <c r="AA25" s="34"/>
      <c r="AB25" s="34"/>
    </row>
    <row r="26" spans="1:28" s="66" customFormat="1">
      <c r="A26" s="74" t="str">
        <f>ELC_CCS_Processes!C53</f>
        <v>CSTRAPDK2SAA</v>
      </c>
      <c r="B26" s="74" t="str">
        <f>ELC_CCS_Processes!D53</f>
        <v>Transport technology by pipeline from DK2 to SAA</v>
      </c>
      <c r="C26" s="74" t="s">
        <v>312</v>
      </c>
      <c r="D26" s="74" t="str">
        <f t="shared" si="5"/>
        <v>CO2STOSAA</v>
      </c>
      <c r="E26" s="74">
        <v>2020</v>
      </c>
      <c r="F26" s="74">
        <v>2020</v>
      </c>
      <c r="G26" s="74">
        <v>1</v>
      </c>
      <c r="H26" s="59">
        <v>1</v>
      </c>
      <c r="I26" s="58">
        <v>0.85</v>
      </c>
      <c r="J26" s="66">
        <v>40</v>
      </c>
      <c r="K26" s="34">
        <f>IF(RIGHT(D26)="S",$S$38,$S$41)*'Data_Dist_&amp;_CAP'!H20*7.45/$R$60</f>
        <v>5.6174724564044119E-2</v>
      </c>
      <c r="L26" s="66">
        <f t="shared" si="1"/>
        <v>5.6174724564044118E-4</v>
      </c>
      <c r="M26" s="34"/>
      <c r="N26" s="34"/>
      <c r="O26" s="34"/>
      <c r="P26" s="74">
        <f t="shared" si="2"/>
        <v>3.3998903424542832</v>
      </c>
      <c r="Q26" s="166"/>
      <c r="R26" s="91" t="s">
        <v>366</v>
      </c>
      <c r="S26" s="91"/>
      <c r="T26" s="91"/>
      <c r="U26" s="91"/>
      <c r="V26" s="91"/>
      <c r="W26" s="91"/>
      <c r="X26" s="91"/>
      <c r="Y26" s="34"/>
      <c r="Z26" s="34"/>
      <c r="AA26" s="34"/>
      <c r="AB26" s="34"/>
    </row>
    <row r="27" spans="1:28" s="66" customFormat="1">
      <c r="A27" s="74"/>
      <c r="B27" s="74"/>
      <c r="C27" s="74" t="s">
        <v>594</v>
      </c>
      <c r="D27" s="74"/>
      <c r="E27" s="74"/>
      <c r="F27" s="74"/>
      <c r="G27" s="74"/>
      <c r="H27" s="59"/>
      <c r="I27" s="58"/>
      <c r="K27" s="34"/>
      <c r="M27" s="34"/>
      <c r="N27" s="34"/>
      <c r="O27" s="34"/>
      <c r="P27" s="74"/>
      <c r="Q27" s="166"/>
      <c r="R27" s="34"/>
      <c r="S27" s="34"/>
      <c r="AA27" s="34"/>
      <c r="AB27" s="34"/>
    </row>
    <row r="28" spans="1:28" s="66" customFormat="1">
      <c r="A28" s="74"/>
      <c r="B28" s="74"/>
      <c r="C28" s="74" t="s">
        <v>596</v>
      </c>
      <c r="D28" s="74"/>
      <c r="E28" s="74"/>
      <c r="F28" s="74"/>
      <c r="G28" s="74"/>
      <c r="H28" s="59"/>
      <c r="I28" s="58"/>
      <c r="K28" s="34"/>
      <c r="M28" s="34"/>
      <c r="N28" s="34"/>
      <c r="O28" s="34"/>
      <c r="P28" s="74"/>
      <c r="Q28" s="166"/>
      <c r="R28" s="34"/>
      <c r="S28" s="34"/>
      <c r="AA28" s="34"/>
      <c r="AB28" s="34"/>
    </row>
    <row r="29" spans="1:28" s="66" customFormat="1">
      <c r="A29" s="74" t="str">
        <f>ELC_CCS_Processes!C54</f>
        <v>CSTRAPDK2DHF</v>
      </c>
      <c r="B29" s="74" t="str">
        <f>ELC_CCS_Processes!D54</f>
        <v>Transport technology by pipeline from DK2 to DHF</v>
      </c>
      <c r="C29" s="74" t="s">
        <v>312</v>
      </c>
      <c r="D29" s="74" t="str">
        <f t="shared" ref="D29" si="6">"CO2STO"&amp;RIGHT(A29,3)</f>
        <v>CO2STODHF</v>
      </c>
      <c r="E29" s="74">
        <v>2020</v>
      </c>
      <c r="F29" s="74">
        <v>2020</v>
      </c>
      <c r="G29" s="74">
        <v>1</v>
      </c>
      <c r="H29" s="59">
        <v>1</v>
      </c>
      <c r="I29" s="58">
        <v>0.85</v>
      </c>
      <c r="J29" s="66">
        <v>40</v>
      </c>
      <c r="K29" s="34">
        <f>IF(RIGHT(D29)="S",$S$38,$S$41)*'Data_Dist_&amp;_CAP'!H21*7.45/$R$60</f>
        <v>0.56174724564044121</v>
      </c>
      <c r="L29" s="66">
        <f t="shared" ref="L29" si="7">K29*0.01</f>
        <v>5.6174724564044118E-3</v>
      </c>
      <c r="M29" s="34"/>
      <c r="N29" s="34"/>
      <c r="O29" s="34"/>
      <c r="P29" s="74">
        <f t="shared" ref="P29" si="8">-1*PMT(4%,40,K29*1000)+K29*0.01*1000</f>
        <v>33.998903424542831</v>
      </c>
      <c r="Q29" s="166"/>
      <c r="R29" s="91"/>
      <c r="S29" s="91">
        <v>300</v>
      </c>
      <c r="T29" s="91" t="s">
        <v>367</v>
      </c>
      <c r="U29" s="91"/>
      <c r="V29" s="91"/>
      <c r="W29" s="91"/>
      <c r="X29" s="91"/>
      <c r="Y29" s="34"/>
      <c r="Z29" s="34"/>
      <c r="AA29" s="34"/>
      <c r="AB29" s="34"/>
    </row>
    <row r="30" spans="1:28" s="66" customFormat="1">
      <c r="A30" s="74"/>
      <c r="B30" s="74"/>
      <c r="C30" s="74" t="s">
        <v>594</v>
      </c>
      <c r="D30" s="74"/>
      <c r="E30" s="74"/>
      <c r="F30" s="74"/>
      <c r="G30" s="74"/>
      <c r="H30" s="59"/>
      <c r="I30" s="58"/>
      <c r="K30" s="34"/>
      <c r="M30" s="34"/>
      <c r="N30" s="34"/>
      <c r="O30" s="34"/>
      <c r="P30" s="74"/>
      <c r="Q30" s="166"/>
      <c r="R30" s="34"/>
      <c r="S30" s="34"/>
      <c r="AA30" s="34"/>
      <c r="AB30" s="34"/>
    </row>
    <row r="31" spans="1:28" s="66" customFormat="1">
      <c r="A31" s="74"/>
      <c r="B31" s="74"/>
      <c r="C31" s="74" t="s">
        <v>596</v>
      </c>
      <c r="D31" s="74"/>
      <c r="E31" s="74"/>
      <c r="F31" s="74"/>
      <c r="G31" s="74"/>
      <c r="H31" s="59"/>
      <c r="I31" s="58"/>
      <c r="K31" s="34"/>
      <c r="M31" s="34"/>
      <c r="N31" s="34"/>
      <c r="O31" s="34"/>
      <c r="P31" s="74"/>
      <c r="Q31" s="166"/>
      <c r="R31" s="34"/>
      <c r="S31" s="34"/>
      <c r="AA31" s="34"/>
      <c r="AB31" s="34"/>
    </row>
    <row r="32" spans="1:28" s="66" customFormat="1">
      <c r="A32" s="74" t="str">
        <f>ELC_CCS_Processes!C55</f>
        <v>CSTRAPDK1DTS</v>
      </c>
      <c r="B32" s="74" t="str">
        <f>ELC_CCS_Processes!D55</f>
        <v>Transport technology by ship from DK1 to DTS</v>
      </c>
      <c r="C32" s="74" t="s">
        <v>312</v>
      </c>
      <c r="D32" s="74" t="str">
        <f t="shared" si="5"/>
        <v>CO2STODTS</v>
      </c>
      <c r="E32" s="74">
        <v>2020</v>
      </c>
      <c r="F32" s="74">
        <v>2020</v>
      </c>
      <c r="G32" s="74">
        <v>1</v>
      </c>
      <c r="H32" s="59">
        <v>1</v>
      </c>
      <c r="I32" s="58">
        <v>0.85</v>
      </c>
      <c r="K32" s="34"/>
      <c r="M32" s="66">
        <f>$R$73*'Data_Dist_&amp;_CAP'!H13/1000</f>
        <v>9.1866666666666659E-3</v>
      </c>
      <c r="P32" s="74">
        <f>M32*1000</f>
        <v>9.1866666666666656</v>
      </c>
      <c r="Q32" s="166"/>
      <c r="R32" s="91"/>
      <c r="S32" s="91">
        <v>400</v>
      </c>
      <c r="T32" s="91" t="s">
        <v>368</v>
      </c>
      <c r="U32" s="91"/>
      <c r="V32" s="91"/>
      <c r="W32" s="91"/>
      <c r="X32" s="91"/>
      <c r="Y32" s="34"/>
      <c r="Z32" s="34"/>
      <c r="AA32" s="34"/>
      <c r="AB32" s="34"/>
    </row>
    <row r="33" spans="1:28" s="66" customFormat="1">
      <c r="A33" s="74"/>
      <c r="B33" s="74"/>
      <c r="C33" s="74" t="s">
        <v>594</v>
      </c>
      <c r="D33" s="74"/>
      <c r="E33" s="74"/>
      <c r="F33" s="74"/>
      <c r="G33" s="74"/>
      <c r="H33" s="59"/>
      <c r="I33" s="58"/>
      <c r="K33" s="34"/>
      <c r="M33" s="34"/>
      <c r="N33" s="34"/>
      <c r="O33" s="34"/>
      <c r="P33" s="74"/>
      <c r="Q33" s="166"/>
      <c r="R33" s="34"/>
      <c r="S33" s="34"/>
      <c r="AA33" s="34"/>
      <c r="AB33" s="34"/>
    </row>
    <row r="34" spans="1:28" s="66" customFormat="1">
      <c r="A34" s="74"/>
      <c r="B34" s="74"/>
      <c r="C34" s="74" t="s">
        <v>596</v>
      </c>
      <c r="D34" s="74"/>
      <c r="E34" s="74"/>
      <c r="F34" s="74"/>
      <c r="G34" s="74"/>
      <c r="H34" s="59"/>
      <c r="I34" s="58"/>
      <c r="K34" s="34"/>
      <c r="M34" s="34"/>
      <c r="N34" s="34"/>
      <c r="O34" s="34"/>
      <c r="P34" s="74"/>
      <c r="Q34" s="166"/>
      <c r="R34" s="34"/>
      <c r="S34" s="34"/>
      <c r="AA34" s="34"/>
      <c r="AB34" s="34"/>
    </row>
    <row r="35" spans="1:28" s="66" customFormat="1">
      <c r="A35" s="74" t="str">
        <f>ELC_CCS_Processes!C56</f>
        <v>CSTRAPDK1DGS</v>
      </c>
      <c r="B35" s="74" t="str">
        <f>ELC_CCS_Processes!D56</f>
        <v>Transport technology by ship from DK1 to DGS</v>
      </c>
      <c r="C35" s="74" t="s">
        <v>312</v>
      </c>
      <c r="D35" s="74" t="str">
        <f t="shared" si="5"/>
        <v>CO2STODGS</v>
      </c>
      <c r="E35" s="74">
        <v>2020</v>
      </c>
      <c r="F35" s="74">
        <v>2020</v>
      </c>
      <c r="G35" s="74">
        <v>1</v>
      </c>
      <c r="H35" s="59">
        <v>1</v>
      </c>
      <c r="I35" s="58">
        <v>0.85</v>
      </c>
      <c r="K35" s="34"/>
      <c r="M35" s="66">
        <f>$R$73*'Data_Dist_&amp;_CAP'!H14/1000</f>
        <v>7.4641666666666658E-3</v>
      </c>
      <c r="P35" s="74">
        <f t="shared" ref="P35:P53" si="9">M35*1000</f>
        <v>7.4641666666666655</v>
      </c>
      <c r="Q35" s="166"/>
      <c r="R35" s="91" t="s">
        <v>369</v>
      </c>
      <c r="S35" s="91"/>
      <c r="T35" s="91"/>
      <c r="U35" s="91"/>
      <c r="V35" s="91"/>
      <c r="W35" s="91"/>
      <c r="X35" s="91"/>
      <c r="Y35" s="34"/>
      <c r="Z35" s="34"/>
      <c r="AA35" s="34"/>
      <c r="AB35" s="34"/>
    </row>
    <row r="36" spans="1:28" s="66" customFormat="1">
      <c r="A36" s="74"/>
      <c r="B36" s="74"/>
      <c r="C36" s="74" t="s">
        <v>594</v>
      </c>
      <c r="D36" s="74"/>
      <c r="E36" s="74"/>
      <c r="F36" s="74"/>
      <c r="G36" s="74"/>
      <c r="H36" s="59"/>
      <c r="I36" s="58"/>
      <c r="K36" s="34"/>
      <c r="M36" s="34"/>
      <c r="N36" s="34"/>
      <c r="O36" s="34"/>
      <c r="P36" s="74"/>
      <c r="Q36" s="166"/>
      <c r="R36" s="34"/>
      <c r="S36" s="34"/>
      <c r="AA36" s="34"/>
      <c r="AB36" s="34"/>
    </row>
    <row r="37" spans="1:28" s="66" customFormat="1">
      <c r="A37" s="74"/>
      <c r="B37" s="74"/>
      <c r="C37" s="74" t="s">
        <v>596</v>
      </c>
      <c r="D37" s="74"/>
      <c r="E37" s="74"/>
      <c r="F37" s="74"/>
      <c r="G37" s="74"/>
      <c r="H37" s="59"/>
      <c r="I37" s="58"/>
      <c r="K37" s="34"/>
      <c r="M37" s="34"/>
      <c r="N37" s="34"/>
      <c r="O37" s="34"/>
      <c r="P37" s="74"/>
      <c r="Q37" s="166"/>
      <c r="R37" s="34"/>
      <c r="S37" s="34"/>
      <c r="AA37" s="34"/>
      <c r="AB37" s="34"/>
    </row>
    <row r="38" spans="1:28" s="66" customFormat="1">
      <c r="A38" s="74" t="str">
        <f>ELC_CCS_Processes!C57</f>
        <v>CSTRAPDK1DGA</v>
      </c>
      <c r="B38" s="74" t="str">
        <f>ELC_CCS_Processes!D57</f>
        <v>Transport technology by ship from DK1 to DGA</v>
      </c>
      <c r="C38" s="74" t="s">
        <v>312</v>
      </c>
      <c r="D38" s="74" t="str">
        <f t="shared" si="5"/>
        <v>CO2STODGA</v>
      </c>
      <c r="E38" s="74">
        <v>2020</v>
      </c>
      <c r="F38" s="74">
        <v>2020</v>
      </c>
      <c r="G38" s="74">
        <v>1</v>
      </c>
      <c r="H38" s="59">
        <v>1</v>
      </c>
      <c r="I38" s="58">
        <v>0.85</v>
      </c>
      <c r="K38" s="34"/>
      <c r="M38" s="66">
        <f>$R$73*'Data_Dist_&amp;_CAP'!H15/1000</f>
        <v>1.1483333333333332E-2</v>
      </c>
      <c r="P38" s="74">
        <f t="shared" si="9"/>
        <v>11.483333333333331</v>
      </c>
      <c r="Q38" s="166"/>
      <c r="R38" s="91"/>
      <c r="S38" s="91">
        <v>1.3</v>
      </c>
      <c r="T38" s="91" t="s">
        <v>370</v>
      </c>
      <c r="U38" s="91"/>
      <c r="V38" s="91"/>
      <c r="W38" s="91"/>
      <c r="X38" s="91"/>
      <c r="Y38" s="34"/>
      <c r="Z38" s="34"/>
      <c r="AA38" s="34"/>
      <c r="AB38" s="34"/>
    </row>
    <row r="39" spans="1:28" s="66" customFormat="1">
      <c r="A39" s="74"/>
      <c r="B39" s="74"/>
      <c r="C39" s="74" t="s">
        <v>594</v>
      </c>
      <c r="D39" s="74"/>
      <c r="E39" s="74"/>
      <c r="F39" s="74"/>
      <c r="G39" s="74"/>
      <c r="H39" s="59"/>
      <c r="I39" s="58"/>
      <c r="K39" s="34"/>
      <c r="M39" s="34"/>
      <c r="N39" s="34"/>
      <c r="O39" s="34"/>
      <c r="P39" s="74"/>
      <c r="Q39" s="166"/>
      <c r="R39" s="34"/>
      <c r="S39" s="34"/>
      <c r="AA39" s="34"/>
      <c r="AB39" s="34"/>
    </row>
    <row r="40" spans="1:28" s="66" customFormat="1">
      <c r="A40" s="74"/>
      <c r="B40" s="74"/>
      <c r="C40" s="74" t="s">
        <v>596</v>
      </c>
      <c r="D40" s="74"/>
      <c r="E40" s="74"/>
      <c r="F40" s="74"/>
      <c r="G40" s="74"/>
      <c r="H40" s="59"/>
      <c r="I40" s="58"/>
      <c r="K40" s="34"/>
      <c r="M40" s="34"/>
      <c r="N40" s="34"/>
      <c r="O40" s="34"/>
      <c r="P40" s="74"/>
      <c r="Q40" s="166"/>
      <c r="R40" s="34"/>
      <c r="S40" s="34"/>
      <c r="AA40" s="34"/>
      <c r="AB40" s="34"/>
    </row>
    <row r="41" spans="1:28" s="66" customFormat="1">
      <c r="A41" s="74" t="str">
        <f>ELC_CCS_Processes!C58</f>
        <v>CSTRAPDK1NSF</v>
      </c>
      <c r="B41" s="74" t="str">
        <f>ELC_CCS_Processes!D58</f>
        <v>Transport technology by ship from DK1 to NSF</v>
      </c>
      <c r="C41" s="74" t="s">
        <v>312</v>
      </c>
      <c r="D41" s="74" t="str">
        <f t="shared" si="5"/>
        <v>CO2STONSF</v>
      </c>
      <c r="E41" s="74">
        <v>2020</v>
      </c>
      <c r="F41" s="74">
        <v>2020</v>
      </c>
      <c r="G41" s="74">
        <v>1</v>
      </c>
      <c r="H41" s="59">
        <v>1</v>
      </c>
      <c r="I41" s="58">
        <v>0.85</v>
      </c>
      <c r="K41" s="34"/>
      <c r="M41" s="66">
        <f>$R$73*'Data_Dist_&amp;_CAP'!H16/1000</f>
        <v>5.7416666666666658E-2</v>
      </c>
      <c r="P41" s="74">
        <f t="shared" si="9"/>
        <v>57.416666666666657</v>
      </c>
      <c r="Q41" s="166"/>
      <c r="R41" s="91"/>
      <c r="S41" s="91">
        <f>S38*1.2</f>
        <v>1.56</v>
      </c>
      <c r="T41" s="91" t="s">
        <v>370</v>
      </c>
      <c r="U41" s="91"/>
      <c r="V41" s="91"/>
      <c r="W41" s="91"/>
      <c r="X41" s="91"/>
      <c r="Y41" s="34"/>
      <c r="Z41" s="34"/>
      <c r="AA41" s="34"/>
      <c r="AB41" s="34"/>
    </row>
    <row r="42" spans="1:28" s="66" customFormat="1">
      <c r="A42" s="74"/>
      <c r="B42" s="74"/>
      <c r="C42" s="74" t="s">
        <v>594</v>
      </c>
      <c r="D42" s="74"/>
      <c r="E42" s="74"/>
      <c r="F42" s="74"/>
      <c r="G42" s="74"/>
      <c r="H42" s="59"/>
      <c r="I42" s="58"/>
      <c r="K42" s="34"/>
      <c r="M42" s="34"/>
      <c r="N42" s="34"/>
      <c r="O42" s="34"/>
      <c r="P42" s="74"/>
      <c r="Q42" s="166"/>
      <c r="R42" s="34"/>
      <c r="S42" s="34"/>
      <c r="AA42" s="34"/>
      <c r="AB42" s="34"/>
    </row>
    <row r="43" spans="1:28" s="66" customFormat="1">
      <c r="A43" s="74"/>
      <c r="B43" s="74"/>
      <c r="C43" s="74" t="s">
        <v>596</v>
      </c>
      <c r="D43" s="74"/>
      <c r="E43" s="74"/>
      <c r="F43" s="74"/>
      <c r="G43" s="74"/>
      <c r="H43" s="59"/>
      <c r="I43" s="58"/>
      <c r="K43" s="34"/>
      <c r="M43" s="34"/>
      <c r="N43" s="34"/>
      <c r="O43" s="34"/>
      <c r="P43" s="74"/>
      <c r="Q43" s="166"/>
      <c r="R43" s="34"/>
      <c r="S43" s="34"/>
      <c r="AA43" s="34"/>
      <c r="AB43" s="34"/>
    </row>
    <row r="44" spans="1:28" s="66" customFormat="1">
      <c r="A44" s="74" t="str">
        <f>ELC_CCS_Processes!C59</f>
        <v>CSTRAPDK1DHF</v>
      </c>
      <c r="B44" s="74" t="str">
        <f>ELC_CCS_Processes!D59</f>
        <v>Transport technology by ship from DK1 to DHF</v>
      </c>
      <c r="C44" s="74" t="s">
        <v>312</v>
      </c>
      <c r="D44" s="74" t="str">
        <f t="shared" ref="D44" si="10">"CO2STO"&amp;RIGHT(A44,3)</f>
        <v>CO2STODHF</v>
      </c>
      <c r="E44" s="74">
        <v>2020</v>
      </c>
      <c r="F44" s="74">
        <v>2020</v>
      </c>
      <c r="G44" s="74">
        <v>1</v>
      </c>
      <c r="H44" s="59">
        <v>1</v>
      </c>
      <c r="I44" s="58">
        <v>0.85</v>
      </c>
      <c r="K44" s="34"/>
      <c r="M44" s="66">
        <f>$R$73*'Data_Dist_&amp;_CAP'!H17/1000</f>
        <v>2.2966666666666663E-2</v>
      </c>
      <c r="P44" s="74">
        <f t="shared" ref="P44" si="11">M44*1000</f>
        <v>22.966666666666661</v>
      </c>
      <c r="Q44" s="166"/>
      <c r="R44" s="91" t="s">
        <v>371</v>
      </c>
      <c r="S44" s="91"/>
      <c r="T44" s="91"/>
      <c r="U44" s="91"/>
      <c r="V44" s="91"/>
      <c r="W44" s="91"/>
      <c r="X44" s="91"/>
    </row>
    <row r="45" spans="1:28" s="66" customFormat="1">
      <c r="A45" s="74"/>
      <c r="B45" s="74"/>
      <c r="C45" s="74" t="s">
        <v>594</v>
      </c>
      <c r="D45" s="74"/>
      <c r="E45" s="74"/>
      <c r="F45" s="74"/>
      <c r="G45" s="74"/>
      <c r="H45" s="59"/>
      <c r="I45" s="58"/>
      <c r="K45" s="34"/>
      <c r="M45" s="34"/>
      <c r="N45" s="34"/>
      <c r="O45" s="34"/>
      <c r="P45" s="74"/>
      <c r="Q45" s="166"/>
      <c r="R45" s="34"/>
      <c r="S45" s="34"/>
      <c r="AA45" s="34"/>
      <c r="AB45" s="34"/>
    </row>
    <row r="46" spans="1:28" s="66" customFormat="1">
      <c r="A46" s="74"/>
      <c r="B46" s="74"/>
      <c r="C46" s="74" t="s">
        <v>596</v>
      </c>
      <c r="D46" s="74"/>
      <c r="E46" s="74"/>
      <c r="F46" s="74"/>
      <c r="G46" s="74"/>
      <c r="H46" s="59"/>
      <c r="I46" s="58"/>
      <c r="K46" s="34"/>
      <c r="M46" s="34"/>
      <c r="N46" s="34"/>
      <c r="O46" s="34"/>
      <c r="P46" s="74"/>
      <c r="Q46" s="166"/>
      <c r="R46" s="34"/>
      <c r="S46" s="34"/>
      <c r="AA46" s="34"/>
      <c r="AB46" s="34"/>
    </row>
    <row r="47" spans="1:28" s="66" customFormat="1">
      <c r="A47" s="74" t="str">
        <f>ELC_CCS_Processes!C60</f>
        <v>CSTRAPDK2DZS</v>
      </c>
      <c r="B47" s="74" t="str">
        <f>ELC_CCS_Processes!D60</f>
        <v>Transport technology by ship from DK2 to DZS</v>
      </c>
      <c r="C47" s="74" t="s">
        <v>312</v>
      </c>
      <c r="D47" s="74" t="str">
        <f t="shared" si="5"/>
        <v>CO2STODZS</v>
      </c>
      <c r="E47" s="74">
        <v>2020</v>
      </c>
      <c r="F47" s="74">
        <v>2020</v>
      </c>
      <c r="G47" s="74">
        <v>1</v>
      </c>
      <c r="H47" s="59">
        <v>1</v>
      </c>
      <c r="I47" s="58">
        <v>0.85</v>
      </c>
      <c r="K47" s="34"/>
      <c r="M47" s="66">
        <f>$R$73*'Data_Dist_&amp;_CAP'!H18/1000</f>
        <v>6.8899999999999986E-3</v>
      </c>
      <c r="P47" s="74">
        <f t="shared" si="9"/>
        <v>6.8899999999999988</v>
      </c>
      <c r="Q47" s="166"/>
      <c r="R47" s="91"/>
      <c r="S47" s="91"/>
      <c r="T47" s="91"/>
      <c r="U47" s="91"/>
      <c r="V47" s="91"/>
      <c r="W47" s="91"/>
      <c r="X47" s="91"/>
    </row>
    <row r="48" spans="1:28" s="66" customFormat="1">
      <c r="A48" s="74"/>
      <c r="B48" s="74"/>
      <c r="C48" s="74" t="s">
        <v>594</v>
      </c>
      <c r="D48" s="74"/>
      <c r="E48" s="74"/>
      <c r="F48" s="74"/>
      <c r="G48" s="74"/>
      <c r="H48" s="59"/>
      <c r="I48" s="58"/>
      <c r="K48" s="34"/>
      <c r="M48" s="34"/>
      <c r="N48" s="34"/>
      <c r="O48" s="34"/>
      <c r="P48" s="74"/>
      <c r="Q48" s="166"/>
      <c r="R48" s="34"/>
      <c r="S48" s="34"/>
      <c r="AA48" s="34"/>
      <c r="AB48" s="34"/>
    </row>
    <row r="49" spans="1:28" s="66" customFormat="1">
      <c r="A49" s="74"/>
      <c r="B49" s="74"/>
      <c r="C49" s="74" t="s">
        <v>596</v>
      </c>
      <c r="D49" s="74"/>
      <c r="E49" s="74"/>
      <c r="F49" s="74"/>
      <c r="G49" s="74"/>
      <c r="H49" s="59"/>
      <c r="I49" s="58"/>
      <c r="K49" s="34"/>
      <c r="M49" s="34"/>
      <c r="N49" s="34"/>
      <c r="O49" s="34"/>
      <c r="P49" s="74"/>
      <c r="Q49" s="166"/>
      <c r="R49" s="34"/>
      <c r="S49" s="34"/>
      <c r="AA49" s="34"/>
      <c r="AB49" s="34"/>
    </row>
    <row r="50" spans="1:28" s="66" customFormat="1">
      <c r="A50" s="74" t="str">
        <f>ELC_CCS_Processes!C61</f>
        <v>CSTRAPDK2NSF</v>
      </c>
      <c r="B50" s="74" t="str">
        <f>ELC_CCS_Processes!D61</f>
        <v>Transport technology by ship from DK2 to NSF</v>
      </c>
      <c r="C50" s="74" t="s">
        <v>312</v>
      </c>
      <c r="D50" s="74" t="str">
        <f t="shared" si="5"/>
        <v>CO2STONSF</v>
      </c>
      <c r="E50" s="74">
        <v>2020</v>
      </c>
      <c r="F50" s="74">
        <v>2020</v>
      </c>
      <c r="G50" s="74">
        <v>1</v>
      </c>
      <c r="H50" s="59">
        <v>1</v>
      </c>
      <c r="I50" s="58">
        <v>0.85</v>
      </c>
      <c r="K50" s="34"/>
      <c r="M50" s="66">
        <f>$R$73*'Data_Dist_&amp;_CAP'!H19/1000</f>
        <v>0.10334999999999998</v>
      </c>
      <c r="P50" s="74">
        <f t="shared" si="9"/>
        <v>103.34999999999998</v>
      </c>
      <c r="Q50" s="166"/>
      <c r="R50" s="91" t="s">
        <v>372</v>
      </c>
      <c r="S50" s="91"/>
      <c r="T50" s="91"/>
      <c r="U50" s="91"/>
      <c r="V50" s="91"/>
      <c r="W50" s="91"/>
      <c r="X50" s="91"/>
    </row>
    <row r="51" spans="1:28" s="66" customFormat="1">
      <c r="A51" s="74"/>
      <c r="B51" s="74"/>
      <c r="C51" s="74" t="s">
        <v>594</v>
      </c>
      <c r="D51" s="74"/>
      <c r="E51" s="74"/>
      <c r="F51" s="74"/>
      <c r="G51" s="74"/>
      <c r="H51" s="59"/>
      <c r="I51" s="58"/>
      <c r="K51" s="34"/>
      <c r="M51" s="34"/>
      <c r="N51" s="34"/>
      <c r="O51" s="34"/>
      <c r="P51" s="74"/>
      <c r="Q51" s="166"/>
      <c r="R51" s="34"/>
      <c r="S51" s="34"/>
      <c r="AA51" s="34"/>
      <c r="AB51" s="34"/>
    </row>
    <row r="52" spans="1:28" s="66" customFormat="1">
      <c r="A52" s="74"/>
      <c r="B52" s="74"/>
      <c r="C52" s="74" t="s">
        <v>596</v>
      </c>
      <c r="D52" s="74"/>
      <c r="E52" s="74"/>
      <c r="F52" s="74"/>
      <c r="G52" s="74"/>
      <c r="H52" s="59"/>
      <c r="I52" s="58"/>
      <c r="K52" s="34"/>
      <c r="M52" s="34"/>
      <c r="N52" s="34"/>
      <c r="O52" s="34"/>
      <c r="P52" s="74"/>
      <c r="Q52" s="166"/>
      <c r="R52" s="34"/>
      <c r="S52" s="34"/>
      <c r="AA52" s="34"/>
      <c r="AB52" s="34"/>
    </row>
    <row r="53" spans="1:28" s="66" customFormat="1">
      <c r="A53" s="74" t="str">
        <f>ELC_CCS_Processes!C62</f>
        <v>CSTRAPDK2SAA</v>
      </c>
      <c r="B53" s="74" t="str">
        <f>ELC_CCS_Processes!D62</f>
        <v>Transport technology by ship from DK2 to SAA</v>
      </c>
      <c r="C53" s="74" t="s">
        <v>312</v>
      </c>
      <c r="D53" s="74" t="str">
        <f t="shared" si="5"/>
        <v>CO2STOSAA</v>
      </c>
      <c r="E53" s="74">
        <v>2020</v>
      </c>
      <c r="F53" s="74">
        <v>2020</v>
      </c>
      <c r="G53" s="74">
        <v>1</v>
      </c>
      <c r="H53" s="59">
        <v>1</v>
      </c>
      <c r="I53" s="58">
        <v>0.85</v>
      </c>
      <c r="K53" s="34"/>
      <c r="M53" s="66">
        <f>$R$73*'Data_Dist_&amp;_CAP'!H20/1000</f>
        <v>4.5933333333333329E-3</v>
      </c>
      <c r="P53" s="74">
        <f t="shared" si="9"/>
        <v>4.5933333333333328</v>
      </c>
      <c r="Q53" s="166"/>
      <c r="R53" s="91"/>
      <c r="S53" s="91"/>
      <c r="T53" s="91"/>
      <c r="U53" s="91"/>
      <c r="V53" s="91"/>
      <c r="W53" s="91"/>
      <c r="X53" s="91"/>
    </row>
    <row r="54" spans="1:28" s="66" customFormat="1">
      <c r="A54" s="74"/>
      <c r="B54" s="74"/>
      <c r="C54" s="74" t="s">
        <v>594</v>
      </c>
      <c r="D54" s="74"/>
      <c r="E54" s="74"/>
      <c r="F54" s="74"/>
      <c r="G54" s="74"/>
      <c r="H54" s="59"/>
      <c r="I54" s="58"/>
      <c r="K54" s="34"/>
      <c r="M54" s="34"/>
      <c r="N54" s="34"/>
      <c r="O54" s="34"/>
      <c r="P54" s="74"/>
      <c r="Q54" s="166"/>
      <c r="R54" s="34"/>
      <c r="S54" s="34"/>
      <c r="AA54" s="34"/>
      <c r="AB54" s="34"/>
    </row>
    <row r="55" spans="1:28" s="66" customFormat="1">
      <c r="A55" s="74"/>
      <c r="B55" s="74"/>
      <c r="C55" s="74" t="s">
        <v>596</v>
      </c>
      <c r="D55" s="74"/>
      <c r="E55" s="74"/>
      <c r="F55" s="74"/>
      <c r="G55" s="74"/>
      <c r="H55" s="59"/>
      <c r="I55" s="58"/>
      <c r="K55" s="34"/>
      <c r="M55" s="34"/>
      <c r="N55" s="34"/>
      <c r="O55" s="34"/>
      <c r="P55" s="74"/>
      <c r="Q55" s="166"/>
      <c r="R55" s="34"/>
      <c r="S55" s="34"/>
      <c r="AA55" s="34"/>
      <c r="AB55" s="34"/>
    </row>
    <row r="56" spans="1:28" s="66" customFormat="1">
      <c r="A56" s="74" t="str">
        <f>ELC_CCS_Processes!C63</f>
        <v>CSTRAPDK2DHF</v>
      </c>
      <c r="B56" s="74" t="str">
        <f>ELC_CCS_Processes!D63</f>
        <v>Transport technology by ship from DK2 to DHF</v>
      </c>
      <c r="C56" s="74" t="s">
        <v>312</v>
      </c>
      <c r="D56" s="74" t="str">
        <f t="shared" ref="D56" si="12">"CO2STO"&amp;RIGHT(A56,3)</f>
        <v>CO2STODHF</v>
      </c>
      <c r="E56" s="74">
        <v>2020</v>
      </c>
      <c r="F56" s="74">
        <v>2020</v>
      </c>
      <c r="G56" s="74">
        <v>1</v>
      </c>
      <c r="H56" s="59">
        <v>1</v>
      </c>
      <c r="I56" s="58">
        <v>0.85</v>
      </c>
      <c r="K56" s="34"/>
      <c r="M56" s="66">
        <f>$R$73*'Data_Dist_&amp;_CAP'!H21/1000</f>
        <v>4.5933333333333326E-2</v>
      </c>
      <c r="P56" s="74">
        <f t="shared" ref="P56" si="13">M56*1000</f>
        <v>45.933333333333323</v>
      </c>
      <c r="Q56" s="166"/>
      <c r="R56" s="91">
        <f>(3*900*4500*3.6)/0.5/1000000</f>
        <v>87.48</v>
      </c>
      <c r="S56" s="91" t="s">
        <v>373</v>
      </c>
      <c r="T56" s="91"/>
      <c r="U56" s="91"/>
      <c r="V56" s="91"/>
      <c r="W56" s="91"/>
      <c r="X56" s="91"/>
    </row>
    <row r="57" spans="1:28" s="66" customFormat="1">
      <c r="A57" s="74"/>
      <c r="B57" s="74"/>
      <c r="C57" s="74" t="s">
        <v>594</v>
      </c>
      <c r="D57" s="74"/>
      <c r="E57" s="74"/>
      <c r="F57" s="74"/>
      <c r="G57" s="74"/>
      <c r="H57" s="59"/>
      <c r="I57" s="58"/>
      <c r="K57" s="34"/>
      <c r="M57" s="34"/>
      <c r="N57" s="34"/>
      <c r="O57" s="34"/>
      <c r="P57" s="74"/>
      <c r="Q57" s="166"/>
      <c r="R57" s="34"/>
      <c r="S57" s="34"/>
      <c r="AA57" s="34"/>
      <c r="AB57" s="34"/>
    </row>
    <row r="58" spans="1:28" s="66" customFormat="1">
      <c r="A58" s="74"/>
      <c r="B58" s="74"/>
      <c r="C58" s="74" t="s">
        <v>596</v>
      </c>
      <c r="D58" s="74"/>
      <c r="E58" s="74"/>
      <c r="F58" s="74"/>
      <c r="G58" s="74"/>
      <c r="H58" s="59"/>
      <c r="I58" s="58"/>
      <c r="K58" s="34"/>
      <c r="M58" s="34"/>
      <c r="N58" s="34"/>
      <c r="O58" s="34"/>
      <c r="P58" s="74"/>
      <c r="Q58" s="166"/>
      <c r="R58" s="34"/>
      <c r="S58" s="34"/>
      <c r="AA58" s="34"/>
      <c r="AB58" s="34"/>
    </row>
    <row r="59" spans="1:28" s="66" customFormat="1">
      <c r="A59" s="91" t="s">
        <v>1054</v>
      </c>
      <c r="B59" s="91" t="s">
        <v>1055</v>
      </c>
      <c r="C59" s="91" t="s">
        <v>1051</v>
      </c>
      <c r="D59" s="91" t="s">
        <v>1056</v>
      </c>
      <c r="E59" s="91">
        <v>2020</v>
      </c>
      <c r="F59" s="91">
        <v>2020</v>
      </c>
      <c r="G59" s="91">
        <v>1</v>
      </c>
      <c r="H59" s="59">
        <v>1</v>
      </c>
      <c r="I59" s="91">
        <v>1</v>
      </c>
      <c r="J59" s="91">
        <v>100</v>
      </c>
      <c r="K59" s="91">
        <v>0</v>
      </c>
      <c r="L59" s="91">
        <v>0</v>
      </c>
      <c r="M59"/>
      <c r="N59"/>
      <c r="O59"/>
      <c r="P59"/>
      <c r="Q59" s="166"/>
      <c r="R59" s="91"/>
      <c r="S59" s="91"/>
      <c r="T59" s="91"/>
      <c r="U59" s="91"/>
      <c r="V59" s="91"/>
      <c r="W59" s="91"/>
      <c r="X59" s="91"/>
    </row>
    <row r="60" spans="1:28" s="66" customFormat="1">
      <c r="A60" s="91" t="s">
        <v>1049</v>
      </c>
      <c r="B60" s="91" t="s">
        <v>1050</v>
      </c>
      <c r="C60" s="91" t="s">
        <v>1057</v>
      </c>
      <c r="D60" s="91" t="s">
        <v>1051</v>
      </c>
      <c r="E60" s="91">
        <v>2020</v>
      </c>
      <c r="F60" s="91">
        <v>2020</v>
      </c>
      <c r="G60" s="91">
        <v>1</v>
      </c>
      <c r="H60" s="59">
        <v>1</v>
      </c>
      <c r="I60" s="58">
        <v>0.85</v>
      </c>
      <c r="J60" s="91">
        <v>40</v>
      </c>
      <c r="K60" s="390">
        <v>9.3624540940073539E-2</v>
      </c>
      <c r="L60" s="91">
        <f>K60*0.01</f>
        <v>9.3624540940073536E-4</v>
      </c>
      <c r="M60"/>
      <c r="N60"/>
      <c r="O60"/>
      <c r="P60"/>
      <c r="Q60" s="166"/>
      <c r="R60" s="91">
        <f>R56*94.6</f>
        <v>8275.6080000000002</v>
      </c>
      <c r="S60" s="91" t="s">
        <v>374</v>
      </c>
      <c r="T60" s="91"/>
      <c r="U60" s="91"/>
      <c r="V60" s="91"/>
      <c r="W60" s="91"/>
      <c r="X60" s="91"/>
    </row>
    <row r="61" spans="1:28" s="66" customFormat="1">
      <c r="C61" s="66" t="s">
        <v>312</v>
      </c>
      <c r="M61"/>
      <c r="N61"/>
      <c r="O61"/>
      <c r="P61"/>
      <c r="Q61" s="166"/>
      <c r="R61" s="91"/>
      <c r="S61" s="91"/>
      <c r="T61" s="91"/>
      <c r="U61" s="91"/>
      <c r="V61" s="91"/>
      <c r="W61" s="91"/>
      <c r="X61" s="91"/>
    </row>
    <row r="62" spans="1:28" s="66" customFormat="1">
      <c r="C62" s="66" t="s">
        <v>593</v>
      </c>
      <c r="M62"/>
      <c r="N62"/>
      <c r="O62"/>
      <c r="P62"/>
      <c r="Q62" s="166"/>
      <c r="R62" s="91" t="s">
        <v>375</v>
      </c>
      <c r="S62" s="91"/>
      <c r="T62" s="91"/>
      <c r="U62" s="91"/>
      <c r="V62" s="91"/>
      <c r="W62" s="91"/>
      <c r="X62" s="91"/>
    </row>
    <row r="63" spans="1:28" s="66" customFormat="1">
      <c r="C63" s="66" t="s">
        <v>973</v>
      </c>
      <c r="M63"/>
      <c r="N63"/>
      <c r="O63"/>
      <c r="P63"/>
      <c r="Q63" s="166"/>
      <c r="R63" s="91"/>
      <c r="S63" s="91"/>
      <c r="T63" s="91"/>
      <c r="U63" s="91"/>
      <c r="V63" s="91"/>
      <c r="W63" s="91"/>
      <c r="X63" s="91"/>
    </row>
    <row r="64" spans="1:28" s="66" customFormat="1">
      <c r="A64"/>
      <c r="B64"/>
      <c r="C64" s="66" t="s">
        <v>595</v>
      </c>
      <c r="D64"/>
      <c r="E64"/>
      <c r="F64"/>
      <c r="G64" s="91"/>
      <c r="H64"/>
      <c r="I64"/>
      <c r="J64"/>
      <c r="K64"/>
      <c r="L64"/>
      <c r="M64"/>
      <c r="N64"/>
      <c r="O64"/>
      <c r="P64"/>
      <c r="Q64" s="166"/>
      <c r="R64" s="91">
        <f>S38*S29*7.45/R60</f>
        <v>0.35109202852527571</v>
      </c>
      <c r="S64" s="91" t="s">
        <v>376</v>
      </c>
      <c r="T64" s="91"/>
      <c r="U64" s="91"/>
      <c r="V64" s="91"/>
      <c r="W64" s="91"/>
      <c r="X64" s="91"/>
    </row>
    <row r="65" spans="1:24" s="66" customFormat="1">
      <c r="C65" s="66" t="s">
        <v>594</v>
      </c>
      <c r="M65"/>
      <c r="N65"/>
      <c r="O65"/>
      <c r="P65"/>
      <c r="Q65" s="166"/>
      <c r="R65" s="91">
        <f>S41*S32*7.45/R60</f>
        <v>0.56174724564044121</v>
      </c>
      <c r="S65" s="91" t="s">
        <v>376</v>
      </c>
      <c r="T65" s="91"/>
      <c r="U65" s="91"/>
      <c r="V65" s="91"/>
      <c r="W65" s="91"/>
      <c r="X65" s="91"/>
    </row>
    <row r="66" spans="1:24" s="66" customFormat="1">
      <c r="A66"/>
      <c r="B66"/>
      <c r="C66" s="66" t="s">
        <v>596</v>
      </c>
      <c r="D66"/>
      <c r="E66"/>
      <c r="F66"/>
      <c r="G66" s="91"/>
      <c r="H66"/>
      <c r="I66"/>
      <c r="J66"/>
      <c r="K66"/>
      <c r="L66"/>
      <c r="M66"/>
      <c r="N66"/>
      <c r="O66"/>
      <c r="P66"/>
      <c r="Q66" s="166"/>
      <c r="R66" s="91"/>
      <c r="S66" s="91"/>
      <c r="T66" s="91"/>
      <c r="U66" s="91"/>
      <c r="V66" s="91"/>
      <c r="W66" s="91"/>
      <c r="X66" s="91"/>
    </row>
    <row r="67" spans="1:24" s="66" customFormat="1">
      <c r="A67"/>
      <c r="B67"/>
      <c r="C67" s="66" t="s">
        <v>1058</v>
      </c>
      <c r="D67"/>
      <c r="E67"/>
      <c r="F67"/>
      <c r="G67" s="91"/>
      <c r="H67"/>
      <c r="I67"/>
      <c r="J67"/>
      <c r="K67"/>
      <c r="L67"/>
      <c r="M67"/>
      <c r="N67"/>
      <c r="O67"/>
      <c r="P67"/>
      <c r="Q67" s="166"/>
      <c r="R67" s="91" t="s">
        <v>377</v>
      </c>
      <c r="S67" s="91"/>
      <c r="T67" s="91"/>
      <c r="U67" s="91"/>
      <c r="V67" s="91"/>
      <c r="W67" s="91"/>
      <c r="X67" s="91"/>
    </row>
    <row r="68" spans="1:24" s="66" customFormat="1">
      <c r="A68" s="91" t="s">
        <v>1052</v>
      </c>
      <c r="B68" s="91" t="s">
        <v>1053</v>
      </c>
      <c r="C68" s="91" t="s">
        <v>1057</v>
      </c>
      <c r="D68" s="91" t="s">
        <v>1051</v>
      </c>
      <c r="E68" s="91">
        <v>2020</v>
      </c>
      <c r="F68" s="91">
        <v>2020</v>
      </c>
      <c r="G68" s="91">
        <v>1</v>
      </c>
      <c r="H68" s="59">
        <v>1</v>
      </c>
      <c r="I68" s="58">
        <v>0.85</v>
      </c>
      <c r="J68" s="91">
        <v>40</v>
      </c>
      <c r="K68" s="390">
        <v>9.3624540940073539E-2</v>
      </c>
      <c r="L68" s="91">
        <f>K68*0.01</f>
        <v>9.3624540940073536E-4</v>
      </c>
      <c r="M68"/>
      <c r="N68"/>
      <c r="O68"/>
      <c r="P68"/>
      <c r="Q68" s="166"/>
      <c r="R68" s="82">
        <f>-1*PMT(4%,40,R64*1000)+R64*0.01*1000</f>
        <v>21.249314640339271</v>
      </c>
      <c r="S68" s="91" t="s">
        <v>378</v>
      </c>
      <c r="T68" s="91"/>
      <c r="U68" s="91"/>
      <c r="V68" s="91"/>
      <c r="W68" s="91"/>
      <c r="X68" s="91"/>
    </row>
    <row r="69" spans="1:24" s="66" customFormat="1">
      <c r="C69" s="66" t="s">
        <v>312</v>
      </c>
      <c r="M69"/>
      <c r="N69"/>
      <c r="O69"/>
      <c r="P69"/>
      <c r="Q69" s="166"/>
      <c r="R69" s="82">
        <f>-1*PMT(4%,40,R65*1000)+R65*0.01*1000</f>
        <v>33.998903424542831</v>
      </c>
      <c r="S69" s="91" t="s">
        <v>378</v>
      </c>
      <c r="T69" s="91"/>
      <c r="U69" s="91"/>
      <c r="V69" s="91"/>
      <c r="W69" s="91"/>
      <c r="X69" s="91"/>
    </row>
    <row r="70" spans="1:24" s="66" customFormat="1">
      <c r="A70"/>
      <c r="B70"/>
      <c r="C70" s="66" t="s">
        <v>593</v>
      </c>
      <c r="D70"/>
      <c r="E70"/>
      <c r="F70"/>
      <c r="G70" s="91"/>
      <c r="H70"/>
      <c r="I70"/>
      <c r="J70"/>
      <c r="K70"/>
      <c r="L70"/>
      <c r="M70"/>
      <c r="N70"/>
      <c r="O70"/>
      <c r="P70"/>
      <c r="R70" s="91"/>
      <c r="S70" s="91"/>
      <c r="T70" s="91"/>
      <c r="U70" s="91"/>
      <c r="V70" s="91"/>
      <c r="W70" s="91"/>
      <c r="X70" s="91"/>
    </row>
    <row r="71" spans="1:24" s="66" customFormat="1">
      <c r="A71"/>
      <c r="B71"/>
      <c r="C71" s="66" t="s">
        <v>973</v>
      </c>
      <c r="D71"/>
      <c r="E71"/>
      <c r="F71"/>
      <c r="G71" s="91"/>
      <c r="H71"/>
      <c r="I71"/>
      <c r="J71"/>
      <c r="K71"/>
      <c r="L71"/>
      <c r="M71"/>
      <c r="N71"/>
      <c r="O71"/>
      <c r="P71"/>
      <c r="S71" s="91"/>
      <c r="T71" s="91"/>
      <c r="U71" s="91"/>
      <c r="V71" s="91"/>
      <c r="W71" s="91"/>
      <c r="X71" s="91"/>
    </row>
    <row r="72" spans="1:24" s="66" customFormat="1">
      <c r="A72"/>
      <c r="B72"/>
      <c r="C72" s="66" t="s">
        <v>595</v>
      </c>
      <c r="D72"/>
      <c r="E72"/>
      <c r="F72"/>
      <c r="G72" s="91"/>
      <c r="H72"/>
      <c r="I72"/>
      <c r="J72"/>
      <c r="K72"/>
      <c r="L72"/>
      <c r="M72"/>
      <c r="N72"/>
      <c r="O72"/>
      <c r="P72"/>
      <c r="Q72" s="45"/>
      <c r="R72" s="9" t="s">
        <v>379</v>
      </c>
      <c r="S72" s="91"/>
      <c r="T72" s="91"/>
      <c r="U72" s="91"/>
      <c r="V72" s="91"/>
      <c r="W72" s="91"/>
      <c r="X72" s="91"/>
    </row>
    <row r="73" spans="1:24" s="66" customFormat="1">
      <c r="A73"/>
      <c r="B73"/>
      <c r="C73" s="66" t="s">
        <v>594</v>
      </c>
      <c r="D73"/>
      <c r="E73"/>
      <c r="F73"/>
      <c r="G73" s="91"/>
      <c r="H73"/>
      <c r="I73"/>
      <c r="J73"/>
      <c r="K73"/>
      <c r="L73"/>
      <c r="M73"/>
      <c r="N73"/>
      <c r="O73"/>
      <c r="P73"/>
      <c r="Q73" s="45"/>
      <c r="R73" s="168">
        <f>5.3*6.5/300</f>
        <v>0.11483333333333332</v>
      </c>
      <c r="S73" s="169" t="s">
        <v>380</v>
      </c>
      <c r="T73" s="168"/>
      <c r="U73" s="144"/>
      <c r="V73" s="91"/>
      <c r="W73" s="91"/>
      <c r="X73" s="91"/>
    </row>
    <row r="74" spans="1:24" s="66" customFormat="1">
      <c r="A74"/>
      <c r="B74"/>
      <c r="C74" s="66" t="s">
        <v>596</v>
      </c>
      <c r="D74"/>
      <c r="E74"/>
      <c r="F74"/>
      <c r="G74" s="91"/>
      <c r="H74"/>
      <c r="I74"/>
      <c r="J74"/>
      <c r="K74"/>
      <c r="L74"/>
      <c r="M74"/>
      <c r="N74"/>
      <c r="O74"/>
      <c r="P74"/>
      <c r="Q74" s="45"/>
      <c r="R74" s="168"/>
      <c r="S74" s="168"/>
      <c r="T74" s="144"/>
      <c r="U74" s="144"/>
      <c r="V74" s="91"/>
      <c r="W74" s="91"/>
      <c r="X74" s="91"/>
    </row>
    <row r="75" spans="1:24" s="66" customFormat="1">
      <c r="A75"/>
      <c r="B75"/>
      <c r="C75" s="66" t="s">
        <v>1058</v>
      </c>
      <c r="D75"/>
      <c r="E75"/>
      <c r="F75"/>
      <c r="G75" s="91"/>
      <c r="H75"/>
      <c r="I75"/>
      <c r="J75"/>
      <c r="K75"/>
      <c r="L75"/>
      <c r="M75"/>
      <c r="N75"/>
      <c r="O75"/>
      <c r="P75"/>
      <c r="Q75" s="45"/>
      <c r="R75" s="168"/>
      <c r="S75" s="168"/>
      <c r="T75" s="144"/>
      <c r="U75" s="144"/>
      <c r="V75" s="91"/>
      <c r="W75" s="91"/>
      <c r="X75" s="91"/>
    </row>
    <row r="76" spans="1:24" s="66" customFormat="1">
      <c r="A76"/>
      <c r="B76"/>
      <c r="C76"/>
      <c r="D76"/>
      <c r="E76"/>
      <c r="F76"/>
      <c r="G76" s="91"/>
      <c r="H76"/>
      <c r="I76"/>
      <c r="J76"/>
      <c r="K76"/>
      <c r="L76"/>
      <c r="M76"/>
      <c r="N76"/>
      <c r="O76"/>
      <c r="P76"/>
      <c r="Q76" s="45"/>
      <c r="R76" s="168"/>
      <c r="S76" s="168"/>
      <c r="T76" s="144"/>
      <c r="U76" s="144"/>
      <c r="V76" s="91"/>
      <c r="W76" s="91"/>
      <c r="X76" s="91"/>
    </row>
    <row r="77" spans="1:24" s="66" customFormat="1">
      <c r="A77"/>
      <c r="B77"/>
      <c r="C77"/>
      <c r="D77"/>
      <c r="E77"/>
      <c r="F77"/>
      <c r="G77" s="91"/>
      <c r="H77"/>
      <c r="I77"/>
      <c r="J77"/>
      <c r="K77"/>
      <c r="L77"/>
      <c r="M77"/>
      <c r="N77"/>
      <c r="O77"/>
      <c r="P77"/>
      <c r="Q77" s="45"/>
      <c r="R77" s="168"/>
      <c r="S77" s="170"/>
      <c r="T77" s="144"/>
      <c r="U77" s="144"/>
      <c r="V77" s="91"/>
      <c r="W77" s="91"/>
      <c r="X77" s="91"/>
    </row>
    <row r="78" spans="1:24" s="66" customFormat="1">
      <c r="A78"/>
      <c r="B78"/>
      <c r="C78"/>
      <c r="D78"/>
      <c r="E78"/>
      <c r="F78"/>
      <c r="G78" s="91"/>
      <c r="H78"/>
      <c r="I78"/>
      <c r="J78"/>
      <c r="K78"/>
      <c r="L78"/>
      <c r="M78"/>
      <c r="N78"/>
      <c r="O78"/>
      <c r="P78"/>
      <c r="R78" s="168"/>
      <c r="S78" s="168"/>
      <c r="T78" s="144"/>
      <c r="U78" s="144"/>
      <c r="V78" s="91"/>
      <c r="W78" s="91"/>
      <c r="X78" s="91"/>
    </row>
    <row r="79" spans="1:24" s="66" customFormat="1">
      <c r="A79"/>
      <c r="B79"/>
      <c r="C79"/>
      <c r="D79"/>
      <c r="E79"/>
      <c r="F79"/>
      <c r="G79" s="91"/>
      <c r="H79"/>
      <c r="I79"/>
      <c r="J79"/>
      <c r="K79"/>
      <c r="L79"/>
      <c r="M79"/>
      <c r="N79"/>
      <c r="O79"/>
      <c r="P79"/>
      <c r="R79" s="168"/>
      <c r="S79" s="170"/>
      <c r="T79" s="144"/>
      <c r="U79" s="144"/>
      <c r="V79" s="91"/>
      <c r="W79" s="91"/>
      <c r="X79" s="91"/>
    </row>
    <row r="80" spans="1:24" s="66" customFormat="1">
      <c r="A80"/>
      <c r="B80"/>
      <c r="C80"/>
      <c r="D80"/>
      <c r="E80"/>
      <c r="F80"/>
      <c r="G80" s="91"/>
      <c r="H80"/>
      <c r="I80"/>
      <c r="J80"/>
      <c r="K80"/>
      <c r="L80"/>
      <c r="M80"/>
      <c r="N80"/>
      <c r="O80"/>
      <c r="P80"/>
    </row>
    <row r="81" spans="1:40" s="66" customFormat="1">
      <c r="A81"/>
      <c r="B81"/>
      <c r="C81"/>
      <c r="D81"/>
      <c r="E81"/>
      <c r="F81"/>
      <c r="G81" s="91"/>
      <c r="H81"/>
      <c r="I81"/>
      <c r="J81"/>
      <c r="K81"/>
      <c r="L81"/>
      <c r="M81"/>
      <c r="N81"/>
      <c r="O81"/>
      <c r="P81"/>
    </row>
    <row r="82" spans="1:40" s="66" customFormat="1">
      <c r="A82"/>
      <c r="B82"/>
      <c r="C82"/>
      <c r="D82"/>
      <c r="E82"/>
      <c r="F82"/>
      <c r="G82" s="91"/>
      <c r="H82"/>
      <c r="I82"/>
      <c r="J82"/>
      <c r="K82"/>
      <c r="L82"/>
      <c r="M82"/>
      <c r="N82"/>
      <c r="O82"/>
      <c r="P82"/>
    </row>
    <row r="83" spans="1:40" s="66" customFormat="1" ht="13.2" customHeight="1">
      <c r="A83"/>
      <c r="B83"/>
      <c r="C83"/>
      <c r="D83"/>
      <c r="E83"/>
      <c r="F83"/>
      <c r="G83" s="91"/>
      <c r="H83"/>
      <c r="I83"/>
      <c r="J83"/>
      <c r="K83"/>
      <c r="L83"/>
      <c r="M83"/>
      <c r="N83"/>
      <c r="O83"/>
      <c r="P83"/>
    </row>
    <row r="84" spans="1:40" s="66" customFormat="1" ht="13.2" customHeight="1">
      <c r="A84"/>
      <c r="B84"/>
      <c r="C84"/>
      <c r="D84"/>
      <c r="E84"/>
      <c r="F84"/>
      <c r="G84" s="91"/>
      <c r="H84"/>
      <c r="I84"/>
      <c r="J84"/>
      <c r="K84"/>
      <c r="L84"/>
      <c r="M84"/>
      <c r="N84"/>
      <c r="O84"/>
      <c r="P84"/>
      <c r="Q84" s="91"/>
      <c r="R84" s="91"/>
      <c r="S84" s="91"/>
      <c r="T84" s="91"/>
      <c r="U84" s="91"/>
      <c r="V84" s="91"/>
      <c r="W84" s="91"/>
      <c r="X84" s="91"/>
      <c r="Y84" s="91"/>
      <c r="Z84" s="91"/>
      <c r="AA84" s="91"/>
      <c r="AB84" s="91"/>
      <c r="AC84" s="91"/>
      <c r="AD84" s="91"/>
      <c r="AE84" s="91"/>
      <c r="AF84" s="91"/>
      <c r="AG84" s="91"/>
      <c r="AH84" s="91"/>
      <c r="AI84" s="91"/>
      <c r="AJ84" s="91"/>
      <c r="AK84" s="91"/>
      <c r="AL84" s="91"/>
      <c r="AM84" s="91"/>
      <c r="AN84" s="91"/>
    </row>
    <row r="85" spans="1:40" s="66" customFormat="1" ht="13.2" customHeight="1">
      <c r="A85"/>
      <c r="B85"/>
      <c r="C85"/>
      <c r="D85"/>
      <c r="E85"/>
      <c r="F85"/>
      <c r="G85" s="91"/>
      <c r="H85"/>
      <c r="I85"/>
      <c r="J85"/>
      <c r="K85"/>
      <c r="L85"/>
      <c r="M85"/>
      <c r="N85"/>
      <c r="O85"/>
      <c r="P85"/>
      <c r="Q85" s="91"/>
      <c r="R85" s="91"/>
      <c r="S85" s="91"/>
      <c r="T85" s="91"/>
      <c r="U85" s="91"/>
      <c r="V85" s="91"/>
      <c r="W85" s="91"/>
      <c r="X85" s="91"/>
      <c r="Y85" s="91"/>
      <c r="Z85" s="91"/>
      <c r="AA85" s="91"/>
      <c r="AB85" s="91"/>
      <c r="AC85" s="91"/>
      <c r="AD85" s="91"/>
      <c r="AE85" s="91"/>
      <c r="AF85" s="91"/>
      <c r="AG85" s="91"/>
      <c r="AH85" s="91"/>
      <c r="AI85" s="91"/>
      <c r="AJ85" s="91"/>
      <c r="AK85" s="91"/>
      <c r="AL85" s="91"/>
      <c r="AM85" s="91"/>
      <c r="AN85" s="91"/>
    </row>
    <row r="86" spans="1:40" s="66" customFormat="1">
      <c r="A86"/>
      <c r="B86"/>
      <c r="C86"/>
      <c r="D86"/>
      <c r="E86"/>
      <c r="F86"/>
      <c r="G86" s="91"/>
      <c r="H86"/>
      <c r="I86"/>
      <c r="J86"/>
      <c r="K86"/>
      <c r="L86"/>
      <c r="M86"/>
      <c r="N86"/>
      <c r="O86"/>
      <c r="P86"/>
      <c r="Q86" s="91"/>
      <c r="R86" s="91"/>
      <c r="S86" s="91"/>
      <c r="T86" s="91"/>
      <c r="U86" s="91"/>
      <c r="V86" s="91"/>
      <c r="W86" s="91"/>
      <c r="X86" s="91"/>
      <c r="Y86" s="91"/>
      <c r="Z86" s="91"/>
      <c r="AA86" s="91"/>
      <c r="AB86" s="91"/>
      <c r="AC86" s="91"/>
      <c r="AD86" s="91"/>
      <c r="AE86" s="91"/>
      <c r="AF86" s="91"/>
      <c r="AG86" s="91"/>
      <c r="AH86" s="91"/>
      <c r="AI86" s="91"/>
      <c r="AJ86" s="91"/>
      <c r="AK86" s="91"/>
      <c r="AL86" s="91"/>
      <c r="AM86" s="91"/>
      <c r="AN86" s="91"/>
    </row>
    <row r="87" spans="1:40" s="66" customFormat="1">
      <c r="A87"/>
      <c r="B87"/>
      <c r="C87"/>
      <c r="D87"/>
      <c r="E87"/>
      <c r="F87"/>
      <c r="G87" s="91"/>
      <c r="H87"/>
      <c r="I87"/>
      <c r="J87"/>
      <c r="K87"/>
      <c r="L87"/>
      <c r="M87"/>
      <c r="N87"/>
      <c r="O87"/>
      <c r="P87"/>
      <c r="Q87" s="91"/>
      <c r="R87" s="91"/>
      <c r="S87" s="91"/>
      <c r="T87" s="91"/>
      <c r="U87" s="91"/>
      <c r="V87" s="91"/>
      <c r="W87" s="91"/>
      <c r="X87" s="91"/>
      <c r="Y87" s="91"/>
      <c r="Z87" s="91"/>
      <c r="AA87" s="91"/>
      <c r="AB87" s="91"/>
      <c r="AC87" s="91"/>
      <c r="AD87" s="91"/>
      <c r="AE87" s="91"/>
      <c r="AF87" s="91"/>
      <c r="AG87" s="91"/>
      <c r="AH87" s="91"/>
      <c r="AI87" s="91"/>
      <c r="AJ87" s="91"/>
      <c r="AK87" s="91"/>
      <c r="AL87" s="91"/>
      <c r="AM87" s="91"/>
      <c r="AN87" s="91"/>
    </row>
    <row r="88" spans="1:40" s="66" customFormat="1">
      <c r="A88"/>
      <c r="B88"/>
      <c r="C88"/>
      <c r="D88"/>
      <c r="E88"/>
      <c r="F88"/>
      <c r="G88" s="91"/>
      <c r="H88"/>
      <c r="I88"/>
      <c r="J88"/>
      <c r="K88"/>
      <c r="L88"/>
      <c r="M88"/>
      <c r="N88"/>
      <c r="O88"/>
      <c r="P88"/>
      <c r="Q88" s="91"/>
      <c r="R88" s="91"/>
      <c r="S88" s="91"/>
      <c r="T88" s="91"/>
      <c r="U88" s="91"/>
      <c r="V88" s="91"/>
      <c r="W88" s="91"/>
      <c r="X88" s="91"/>
      <c r="Y88" s="91"/>
      <c r="Z88" s="91"/>
      <c r="AA88" s="91"/>
      <c r="AB88" s="91"/>
      <c r="AC88" s="91"/>
      <c r="AD88" s="91"/>
      <c r="AE88" s="91"/>
      <c r="AF88" s="91"/>
      <c r="AG88" s="91"/>
      <c r="AH88" s="91"/>
      <c r="AI88" s="91"/>
      <c r="AJ88" s="91"/>
      <c r="AK88" s="91"/>
      <c r="AL88" s="91"/>
      <c r="AM88" s="91"/>
      <c r="AN88" s="91"/>
    </row>
    <row r="89" spans="1:40">
      <c r="Q89" s="91"/>
      <c r="R89" s="91"/>
      <c r="S89" s="91"/>
      <c r="T89" s="91"/>
      <c r="U89" s="91"/>
      <c r="V89" s="91"/>
      <c r="W89" s="91"/>
      <c r="X89" s="91"/>
      <c r="Y89" s="91"/>
      <c r="Z89" s="91"/>
      <c r="AA89" s="91"/>
      <c r="AB89" s="91"/>
      <c r="AC89" s="91"/>
      <c r="AD89" s="91"/>
      <c r="AE89" s="91"/>
      <c r="AF89" s="91"/>
      <c r="AG89" s="91"/>
      <c r="AH89" s="91"/>
      <c r="AI89" s="91"/>
      <c r="AJ89" s="91"/>
      <c r="AK89" s="91"/>
      <c r="AL89" s="91"/>
      <c r="AM89" s="91"/>
      <c r="AN89" s="91"/>
    </row>
    <row r="90" spans="1:40">
      <c r="Q90" s="91"/>
      <c r="R90" s="91"/>
      <c r="S90" s="91"/>
      <c r="T90" s="91"/>
      <c r="U90" s="91"/>
      <c r="V90" s="91"/>
      <c r="W90" s="91"/>
      <c r="X90" s="91"/>
      <c r="Y90" s="91"/>
      <c r="Z90" s="91"/>
      <c r="AA90" s="91"/>
      <c r="AB90" s="91"/>
      <c r="AC90" s="91"/>
      <c r="AD90" s="91"/>
      <c r="AE90" s="91"/>
      <c r="AF90" s="91"/>
      <c r="AG90" s="91"/>
      <c r="AH90" s="91"/>
      <c r="AI90" s="91"/>
      <c r="AJ90" s="91"/>
      <c r="AK90" s="91"/>
      <c r="AL90" s="91"/>
      <c r="AM90" s="91"/>
      <c r="AN90" s="91"/>
    </row>
    <row r="91" spans="1:40">
      <c r="Q91" s="91"/>
      <c r="R91" s="91"/>
      <c r="S91" s="91"/>
      <c r="T91" s="91"/>
      <c r="U91" s="91"/>
      <c r="V91" s="91"/>
      <c r="W91" s="91"/>
      <c r="X91" s="91"/>
      <c r="Y91" s="91"/>
      <c r="Z91" s="91"/>
      <c r="AA91" s="91"/>
      <c r="AB91" s="91"/>
      <c r="AC91" s="91"/>
      <c r="AD91" s="91"/>
      <c r="AE91" s="91"/>
      <c r="AF91" s="91"/>
      <c r="AG91" s="91"/>
      <c r="AH91" s="91"/>
      <c r="AI91" s="91"/>
      <c r="AJ91" s="91"/>
      <c r="AK91" s="91"/>
      <c r="AL91" s="91"/>
      <c r="AM91" s="91"/>
      <c r="AN91" s="91"/>
    </row>
    <row r="92" spans="1:40">
      <c r="Q92" s="91"/>
      <c r="R92" s="91"/>
      <c r="S92" s="91"/>
      <c r="T92" s="91"/>
      <c r="U92" s="91"/>
      <c r="V92" s="91"/>
      <c r="W92" s="91"/>
      <c r="X92" s="91"/>
      <c r="Y92" s="91"/>
      <c r="Z92" s="91"/>
      <c r="AA92" s="91"/>
      <c r="AB92" s="91"/>
      <c r="AC92" s="91"/>
      <c r="AD92" s="91"/>
      <c r="AE92" s="91"/>
      <c r="AF92" s="91"/>
      <c r="AG92" s="91"/>
      <c r="AH92" s="91"/>
      <c r="AI92" s="91"/>
      <c r="AJ92" s="91"/>
      <c r="AK92" s="91"/>
      <c r="AL92" s="91"/>
      <c r="AM92" s="91"/>
      <c r="AN92" s="91"/>
    </row>
    <row r="93" spans="1:40">
      <c r="Q93" s="91"/>
      <c r="R93" s="91"/>
      <c r="S93" s="91"/>
      <c r="T93" s="91"/>
      <c r="U93" s="91"/>
      <c r="V93" s="91"/>
      <c r="W93" s="91"/>
      <c r="X93" s="91"/>
      <c r="Y93" s="91"/>
      <c r="Z93" s="91"/>
      <c r="AA93" s="91"/>
      <c r="AB93" s="91"/>
      <c r="AC93" s="91"/>
      <c r="AD93" s="91"/>
      <c r="AE93" s="91"/>
      <c r="AF93" s="91"/>
      <c r="AG93" s="91"/>
      <c r="AH93" s="91"/>
      <c r="AI93" s="91"/>
      <c r="AJ93" s="91"/>
      <c r="AK93" s="91"/>
      <c r="AL93" s="91"/>
      <c r="AM93" s="91"/>
      <c r="AN93" s="91"/>
    </row>
    <row r="94" spans="1:40">
      <c r="Q94" s="91"/>
      <c r="R94" s="91"/>
      <c r="S94" s="91"/>
      <c r="T94" s="91"/>
      <c r="U94" s="91"/>
      <c r="V94" s="91"/>
      <c r="W94" s="91"/>
      <c r="X94" s="91"/>
      <c r="Y94" s="91"/>
      <c r="Z94" s="91"/>
      <c r="AA94" s="91"/>
      <c r="AB94" s="91"/>
      <c r="AC94" s="91"/>
      <c r="AD94" s="91"/>
      <c r="AE94" s="91"/>
      <c r="AF94" s="91"/>
      <c r="AG94" s="91"/>
      <c r="AH94" s="91"/>
      <c r="AI94" s="91"/>
      <c r="AJ94" s="91"/>
      <c r="AK94" s="91"/>
      <c r="AL94" s="91"/>
      <c r="AM94" s="91"/>
      <c r="AN94" s="91"/>
    </row>
  </sheetData>
  <phoneticPr fontId="7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AD96"/>
  <sheetViews>
    <sheetView workbookViewId="0">
      <selection activeCell="H9" sqref="H9"/>
    </sheetView>
  </sheetViews>
  <sheetFormatPr defaultRowHeight="14.4"/>
  <cols>
    <col min="1" max="1" width="11.6640625" bestFit="1" customWidth="1"/>
    <col min="2" max="2" width="17" customWidth="1"/>
    <col min="7" max="7" width="18.109375" bestFit="1" customWidth="1"/>
    <col min="8" max="8" width="12.33203125" bestFit="1" customWidth="1"/>
    <col min="13" max="13" width="8.88671875" style="91"/>
    <col min="17" max="17" width="8.33203125" customWidth="1"/>
  </cols>
  <sheetData>
    <row r="1" spans="1:29" s="66" customFormat="1">
      <c r="A1" s="74"/>
      <c r="B1" s="74"/>
      <c r="C1" s="74"/>
      <c r="D1" s="74"/>
      <c r="E1" s="2" t="s">
        <v>0</v>
      </c>
      <c r="F1" s="74"/>
      <c r="G1" s="55"/>
      <c r="H1" s="74"/>
      <c r="I1" s="74"/>
      <c r="J1" s="74"/>
      <c r="K1" s="74"/>
      <c r="L1" s="74"/>
      <c r="M1" s="74"/>
    </row>
    <row r="2" spans="1:29" s="66" customFormat="1" ht="43.2">
      <c r="A2" s="3" t="s">
        <v>1</v>
      </c>
      <c r="B2" s="3" t="s">
        <v>2</v>
      </c>
      <c r="C2" s="3" t="s">
        <v>3</v>
      </c>
      <c r="D2" s="163" t="s">
        <v>4</v>
      </c>
      <c r="E2" s="3" t="s">
        <v>5</v>
      </c>
      <c r="F2" s="3" t="s">
        <v>6</v>
      </c>
      <c r="G2" s="56" t="s">
        <v>7</v>
      </c>
      <c r="H2" s="3" t="s">
        <v>8</v>
      </c>
      <c r="I2" s="3" t="s">
        <v>9</v>
      </c>
      <c r="J2" s="3" t="s">
        <v>11</v>
      </c>
      <c r="K2" s="3" t="s">
        <v>12</v>
      </c>
      <c r="L2" s="3" t="s">
        <v>19</v>
      </c>
      <c r="M2" s="126" t="s">
        <v>768</v>
      </c>
    </row>
    <row r="3" spans="1:29" s="1" customFormat="1" ht="87" customHeight="1">
      <c r="A3" s="5" t="s">
        <v>13</v>
      </c>
      <c r="B3" s="5"/>
      <c r="C3" s="5" t="s">
        <v>67</v>
      </c>
      <c r="D3" s="164" t="s">
        <v>68</v>
      </c>
      <c r="E3" s="5"/>
      <c r="F3" s="5" t="s">
        <v>66</v>
      </c>
      <c r="G3" s="57" t="s">
        <v>158</v>
      </c>
      <c r="H3" s="5" t="s">
        <v>63</v>
      </c>
      <c r="I3" s="5" t="s">
        <v>64</v>
      </c>
      <c r="J3" s="5" t="s">
        <v>60</v>
      </c>
      <c r="K3" s="5" t="s">
        <v>61</v>
      </c>
      <c r="L3" s="5" t="s">
        <v>62</v>
      </c>
      <c r="M3" s="157"/>
      <c r="O3" s="158" t="s">
        <v>585</v>
      </c>
      <c r="P3" s="1" t="s">
        <v>586</v>
      </c>
      <c r="U3" s="1" t="s">
        <v>319</v>
      </c>
    </row>
    <row r="4" spans="1:29" s="66" customFormat="1" ht="15" thickBot="1">
      <c r="A4" s="165" t="s">
        <v>14</v>
      </c>
      <c r="B4" s="159"/>
      <c r="C4" s="159"/>
      <c r="D4" s="160"/>
      <c r="E4" s="159"/>
      <c r="F4" s="159"/>
      <c r="G4" s="161" t="s">
        <v>159</v>
      </c>
      <c r="H4" s="159" t="s">
        <v>326</v>
      </c>
      <c r="I4" s="159" t="s">
        <v>323</v>
      </c>
      <c r="J4" s="159" t="s">
        <v>15</v>
      </c>
      <c r="K4" s="159" t="s">
        <v>15</v>
      </c>
      <c r="L4" s="159" t="s">
        <v>16</v>
      </c>
      <c r="M4" s="162"/>
      <c r="O4" s="34"/>
      <c r="Q4" s="1"/>
      <c r="R4" s="1"/>
      <c r="S4" s="1"/>
      <c r="T4" s="1"/>
      <c r="U4" s="1"/>
      <c r="V4" s="1"/>
      <c r="W4" s="1"/>
      <c r="X4" s="1"/>
      <c r="Y4" s="1"/>
      <c r="Z4" s="1"/>
      <c r="AA4" s="1"/>
      <c r="AB4" s="1"/>
      <c r="AC4" s="1"/>
    </row>
    <row r="5" spans="1:29" s="66" customFormat="1">
      <c r="A5" s="74" t="str">
        <f>"CS"&amp;RIGHT(C5,6)</f>
        <v>CSSTODTS</v>
      </c>
      <c r="B5" s="74" t="s">
        <v>388</v>
      </c>
      <c r="C5" s="74" t="str">
        <f>ELC_CCS_Comm!C5</f>
        <v>CO2STODTS</v>
      </c>
      <c r="D5" s="74" t="s">
        <v>354</v>
      </c>
      <c r="E5" s="74">
        <v>2013</v>
      </c>
      <c r="F5" s="74">
        <v>2020</v>
      </c>
      <c r="G5" s="55">
        <v>1</v>
      </c>
      <c r="H5" s="81">
        <f>PV(0.08,L5,-O5*1000)/1000000</f>
        <v>0.89334370590902834</v>
      </c>
      <c r="I5" s="81">
        <f>H5*0.01</f>
        <v>8.9334370590902837E-3</v>
      </c>
      <c r="J5" s="66">
        <v>1</v>
      </c>
      <c r="K5" s="66">
        <v>1</v>
      </c>
      <c r="L5" s="66">
        <v>100</v>
      </c>
      <c r="M5" s="66">
        <v>-1</v>
      </c>
      <c r="O5" s="74">
        <f>11*6.5</f>
        <v>71.5</v>
      </c>
      <c r="P5" s="197"/>
      <c r="Q5" s="46"/>
      <c r="R5" s="1"/>
      <c r="S5" s="1" t="s">
        <v>583</v>
      </c>
      <c r="T5" s="1"/>
      <c r="U5" s="1"/>
      <c r="V5" s="1"/>
      <c r="W5" s="1"/>
      <c r="X5" s="1"/>
      <c r="Y5" s="1"/>
      <c r="Z5" s="1"/>
      <c r="AA5" s="1"/>
      <c r="AB5" s="1"/>
      <c r="AC5" s="1"/>
    </row>
    <row r="6" spans="1:29" s="66" customFormat="1">
      <c r="A6" s="74" t="str">
        <f t="shared" ref="A6:A9" si="0">"CS"&amp;RIGHT(C6,6)</f>
        <v>CSSTODGS</v>
      </c>
      <c r="B6" s="74" t="s">
        <v>389</v>
      </c>
      <c r="C6" s="74" t="str">
        <f>ELC_CCS_Comm!C6</f>
        <v>CO2STODGS</v>
      </c>
      <c r="D6" s="74" t="s">
        <v>354</v>
      </c>
      <c r="E6" s="74">
        <v>2013</v>
      </c>
      <c r="F6" s="74">
        <v>2020</v>
      </c>
      <c r="G6" s="55">
        <v>1</v>
      </c>
      <c r="H6" s="81">
        <f t="shared" ref="H6:H10" si="1">PV(0.08,L6,-O6*1000)/1000000</f>
        <v>0.89334370590902834</v>
      </c>
      <c r="I6" s="81">
        <f t="shared" ref="I6:I11" si="2">H6*0.01</f>
        <v>8.9334370590902837E-3</v>
      </c>
      <c r="J6" s="66">
        <v>1</v>
      </c>
      <c r="K6" s="66">
        <v>1</v>
      </c>
      <c r="L6" s="66">
        <v>100</v>
      </c>
      <c r="M6" s="66">
        <v>-1</v>
      </c>
      <c r="O6" s="74">
        <f>11*6.5</f>
        <v>71.5</v>
      </c>
      <c r="P6" s="197"/>
      <c r="R6" s="1"/>
      <c r="S6" s="1" t="s">
        <v>584</v>
      </c>
      <c r="T6" s="1"/>
      <c r="U6" s="1"/>
      <c r="V6" s="1"/>
      <c r="W6" s="1"/>
      <c r="X6" s="1"/>
      <c r="Y6" s="1"/>
      <c r="Z6" s="1"/>
      <c r="AA6" s="1"/>
      <c r="AB6" s="1"/>
      <c r="AC6" s="1"/>
    </row>
    <row r="7" spans="1:29" s="66" customFormat="1">
      <c r="A7" s="74" t="str">
        <f t="shared" si="0"/>
        <v>CSSTODGA</v>
      </c>
      <c r="B7" s="74" t="s">
        <v>390</v>
      </c>
      <c r="C7" s="74" t="str">
        <f>ELC_CCS_Comm!C7</f>
        <v>CO2STODGA</v>
      </c>
      <c r="D7" s="74" t="s">
        <v>354</v>
      </c>
      <c r="E7" s="74">
        <v>2013</v>
      </c>
      <c r="F7" s="74">
        <v>2020</v>
      </c>
      <c r="G7" s="55">
        <v>1</v>
      </c>
      <c r="H7" s="81">
        <f t="shared" si="1"/>
        <v>0.97455677008257635</v>
      </c>
      <c r="I7" s="81">
        <f t="shared" si="2"/>
        <v>9.7455677008257639E-3</v>
      </c>
      <c r="J7" s="66">
        <v>1</v>
      </c>
      <c r="K7" s="66">
        <v>1</v>
      </c>
      <c r="L7" s="66">
        <v>100</v>
      </c>
      <c r="M7" s="66">
        <v>-1</v>
      </c>
      <c r="O7" s="74">
        <f>12*6.5</f>
        <v>78</v>
      </c>
      <c r="P7" s="197"/>
      <c r="R7" s="1"/>
      <c r="S7" s="1"/>
      <c r="T7" s="1"/>
      <c r="U7" s="1"/>
      <c r="V7" s="1"/>
      <c r="W7" s="1"/>
      <c r="X7" s="1"/>
      <c r="Y7" s="1"/>
      <c r="Z7" s="1"/>
      <c r="AA7" s="1"/>
      <c r="AB7" s="1"/>
      <c r="AC7" s="1"/>
    </row>
    <row r="8" spans="1:29" s="66" customFormat="1">
      <c r="A8" s="74" t="str">
        <f>"CS"&amp;RIGHT(C8,6)</f>
        <v>CSSTONSF</v>
      </c>
      <c r="B8" s="74" t="s">
        <v>391</v>
      </c>
      <c r="C8" s="74" t="str">
        <f>ELC_CCS_Comm!C8</f>
        <v>CO2STONSF</v>
      </c>
      <c r="D8" s="74" t="s">
        <v>354</v>
      </c>
      <c r="E8" s="74">
        <v>2013</v>
      </c>
      <c r="F8" s="74">
        <v>2020</v>
      </c>
      <c r="G8" s="55">
        <v>1</v>
      </c>
      <c r="H8" s="81">
        <f t="shared" si="1"/>
        <v>0.40606532086774016</v>
      </c>
      <c r="I8" s="81">
        <f t="shared" si="2"/>
        <v>4.0606532086774018E-3</v>
      </c>
      <c r="J8" s="66">
        <v>1</v>
      </c>
      <c r="K8" s="66">
        <v>1</v>
      </c>
      <c r="L8" s="66">
        <v>100</v>
      </c>
      <c r="M8" s="66">
        <v>-1</v>
      </c>
      <c r="O8" s="74">
        <f>5*6.5</f>
        <v>32.5</v>
      </c>
      <c r="P8" s="197"/>
      <c r="R8" s="1"/>
      <c r="S8" s="1"/>
      <c r="T8" s="1"/>
      <c r="U8" s="1"/>
      <c r="V8" s="1"/>
      <c r="W8" s="1"/>
      <c r="X8" s="1"/>
      <c r="Y8" s="1"/>
      <c r="Z8" s="1"/>
      <c r="AA8" s="1"/>
      <c r="AB8" s="1"/>
      <c r="AC8" s="1"/>
    </row>
    <row r="9" spans="1:29" s="66" customFormat="1">
      <c r="A9" s="74" t="str">
        <f t="shared" si="0"/>
        <v>CSSTODZS</v>
      </c>
      <c r="B9" s="74" t="s">
        <v>392</v>
      </c>
      <c r="C9" s="74" t="str">
        <f>ELC_CCS_Comm!C9</f>
        <v>CO2STODZS</v>
      </c>
      <c r="D9" s="74" t="s">
        <v>354</v>
      </c>
      <c r="E9" s="74">
        <v>2013</v>
      </c>
      <c r="F9" s="74">
        <v>2020</v>
      </c>
      <c r="G9" s="55">
        <v>1</v>
      </c>
      <c r="H9" s="81">
        <f t="shared" si="1"/>
        <v>0.89334370590902834</v>
      </c>
      <c r="I9" s="81">
        <f t="shared" si="2"/>
        <v>8.9334370590902837E-3</v>
      </c>
      <c r="J9" s="66">
        <v>1</v>
      </c>
      <c r="K9" s="66">
        <v>1</v>
      </c>
      <c r="L9" s="66">
        <v>100</v>
      </c>
      <c r="M9" s="66">
        <v>-1</v>
      </c>
      <c r="O9" s="74">
        <f>11*6.5</f>
        <v>71.5</v>
      </c>
      <c r="P9" s="197"/>
      <c r="R9" s="1"/>
      <c r="S9" s="1"/>
      <c r="T9" s="1"/>
      <c r="U9" s="1"/>
      <c r="V9" s="1"/>
      <c r="W9" s="1"/>
      <c r="X9" s="1"/>
      <c r="Y9" s="1"/>
      <c r="Z9" s="1"/>
      <c r="AA9" s="1"/>
      <c r="AB9" s="1"/>
      <c r="AC9" s="1"/>
    </row>
    <row r="10" spans="1:29" s="66" customFormat="1">
      <c r="A10" s="74" t="str">
        <f>"CS"&amp;RIGHT(C10,6)</f>
        <v>CSSTOSAA</v>
      </c>
      <c r="B10" s="74" t="s">
        <v>393</v>
      </c>
      <c r="C10" s="74" t="str">
        <f>ELC_CCS_Comm!C10</f>
        <v>CO2STOSAA</v>
      </c>
      <c r="D10" s="74" t="s">
        <v>354</v>
      </c>
      <c r="E10" s="74">
        <v>2013</v>
      </c>
      <c r="F10" s="74">
        <v>2020</v>
      </c>
      <c r="G10" s="55">
        <v>1</v>
      </c>
      <c r="H10" s="81">
        <f t="shared" si="1"/>
        <v>0.97455677008257635</v>
      </c>
      <c r="I10" s="81">
        <f t="shared" si="2"/>
        <v>9.7455677008257639E-3</v>
      </c>
      <c r="J10" s="66">
        <v>1</v>
      </c>
      <c r="K10" s="66">
        <v>1</v>
      </c>
      <c r="L10" s="66">
        <v>100</v>
      </c>
      <c r="M10" s="66">
        <v>-1</v>
      </c>
      <c r="O10" s="74">
        <f>12*6.5</f>
        <v>78</v>
      </c>
      <c r="P10" s="197"/>
      <c r="R10" s="1"/>
      <c r="S10" s="1"/>
      <c r="T10" s="1"/>
      <c r="U10" s="1"/>
      <c r="V10" s="1"/>
      <c r="W10" s="1"/>
      <c r="X10" s="1"/>
      <c r="Y10" s="1"/>
      <c r="Z10" s="1"/>
      <c r="AA10" s="1"/>
      <c r="AB10" s="1"/>
      <c r="AC10" s="1"/>
    </row>
    <row r="11" spans="1:29" s="66" customFormat="1">
      <c r="A11" s="74" t="str">
        <f>"CS"&amp;RIGHT(C11,6)</f>
        <v>CSSTODHS</v>
      </c>
      <c r="B11" s="74" t="s">
        <v>602</v>
      </c>
      <c r="C11" s="74" t="str">
        <f>ELC_CCS_Comm!C11</f>
        <v>CO2STODHS</v>
      </c>
      <c r="D11" s="74" t="s">
        <v>354</v>
      </c>
      <c r="E11" s="74">
        <v>2013</v>
      </c>
      <c r="F11" s="74">
        <v>2020</v>
      </c>
      <c r="G11" s="55">
        <v>1</v>
      </c>
      <c r="H11" s="81">
        <f>PV(0.08,L11,-O11*1000)/1000000</f>
        <v>0.40606532086774016</v>
      </c>
      <c r="I11" s="81">
        <f t="shared" si="2"/>
        <v>4.0606532086774018E-3</v>
      </c>
      <c r="J11" s="66">
        <v>1</v>
      </c>
      <c r="K11" s="66">
        <v>1</v>
      </c>
      <c r="L11" s="66">
        <v>100</v>
      </c>
      <c r="M11" s="66">
        <v>-1</v>
      </c>
      <c r="O11" s="74">
        <f>5*6.5</f>
        <v>32.5</v>
      </c>
      <c r="P11" s="197"/>
      <c r="R11" s="1"/>
      <c r="S11" s="1"/>
      <c r="T11" s="1"/>
      <c r="U11" s="1"/>
      <c r="V11" s="1"/>
      <c r="W11" s="1"/>
      <c r="X11" s="1"/>
      <c r="Y11" s="1"/>
      <c r="Z11" s="1"/>
      <c r="AA11" s="1"/>
      <c r="AB11" s="1"/>
      <c r="AC11" s="1"/>
    </row>
    <row r="12" spans="1:29" s="66" customFormat="1">
      <c r="A12" s="177"/>
      <c r="B12" s="175"/>
      <c r="C12" s="74"/>
      <c r="D12" s="175"/>
      <c r="E12" s="175"/>
      <c r="F12" s="175"/>
      <c r="G12" s="176"/>
      <c r="H12" s="175"/>
      <c r="I12" s="175"/>
      <c r="J12" s="175"/>
      <c r="K12" s="175"/>
      <c r="L12" s="175"/>
      <c r="M12" s="175"/>
      <c r="R12" s="1"/>
      <c r="S12" s="1"/>
      <c r="T12" s="1"/>
      <c r="U12" s="1"/>
      <c r="V12" s="1"/>
      <c r="W12" s="1"/>
      <c r="X12" s="1"/>
      <c r="Y12" s="1"/>
      <c r="Z12" s="1"/>
      <c r="AA12" s="1"/>
      <c r="AB12" s="1"/>
      <c r="AC12" s="1"/>
    </row>
    <row r="13" spans="1:29" s="66" customFormat="1">
      <c r="A13" s="177"/>
      <c r="B13" s="175"/>
      <c r="C13" s="74"/>
      <c r="D13" s="175"/>
      <c r="E13" s="175"/>
      <c r="F13" s="175"/>
      <c r="G13" s="176"/>
      <c r="H13" s="193"/>
      <c r="I13" s="175"/>
      <c r="J13" s="175"/>
      <c r="L13" s="175"/>
      <c r="M13" s="175"/>
      <c r="R13" s="1"/>
      <c r="S13" s="1"/>
      <c r="T13" s="1"/>
      <c r="U13" s="1"/>
      <c r="V13" s="1"/>
      <c r="W13" s="1"/>
      <c r="X13" s="1"/>
      <c r="Y13" s="1"/>
      <c r="Z13" s="1"/>
      <c r="AA13" s="1"/>
      <c r="AB13" s="1"/>
      <c r="AC13" s="1"/>
    </row>
    <row r="14" spans="1:29" s="66" customFormat="1">
      <c r="A14" s="177"/>
      <c r="B14" s="175"/>
      <c r="C14" s="74"/>
      <c r="D14" s="175"/>
      <c r="E14" s="175"/>
      <c r="F14" s="175"/>
      <c r="G14" s="176"/>
      <c r="H14" s="175"/>
      <c r="I14" s="175"/>
      <c r="J14" s="175"/>
      <c r="K14" s="175"/>
      <c r="L14" s="175"/>
      <c r="M14" s="175"/>
      <c r="R14" s="1"/>
      <c r="S14" s="1"/>
      <c r="T14" s="1"/>
      <c r="U14" s="1"/>
      <c r="V14" s="1"/>
      <c r="W14" s="1"/>
      <c r="X14" s="1"/>
      <c r="Y14" s="1"/>
      <c r="Z14" s="1"/>
      <c r="AA14" s="1"/>
      <c r="AB14" s="1"/>
      <c r="AC14" s="1"/>
    </row>
    <row r="15" spans="1:29" s="66" customFormat="1">
      <c r="A15" s="177"/>
      <c r="B15" s="175"/>
      <c r="C15" s="175"/>
      <c r="D15" s="175"/>
      <c r="E15" s="175"/>
      <c r="F15" s="175"/>
      <c r="G15" s="176"/>
      <c r="H15" s="175"/>
      <c r="I15" s="175"/>
      <c r="J15" s="175"/>
      <c r="K15" s="175"/>
      <c r="L15" s="175"/>
      <c r="M15" s="175"/>
      <c r="R15" s="1"/>
      <c r="S15" s="1"/>
      <c r="T15" s="1"/>
      <c r="U15" s="1"/>
      <c r="V15" s="1"/>
      <c r="W15" s="1"/>
      <c r="X15" s="1"/>
      <c r="Y15" s="1"/>
      <c r="Z15" s="1"/>
      <c r="AA15" s="1"/>
      <c r="AB15" s="1"/>
      <c r="AC15" s="1"/>
    </row>
    <row r="16" spans="1:29" s="66" customFormat="1">
      <c r="A16" s="177"/>
      <c r="B16" s="175"/>
      <c r="C16" s="175"/>
      <c r="D16" s="175"/>
      <c r="E16" s="175"/>
      <c r="F16" s="175"/>
      <c r="G16" s="176"/>
      <c r="H16" s="175"/>
      <c r="I16" s="175"/>
      <c r="J16" s="175"/>
      <c r="K16" s="175"/>
      <c r="L16" s="175"/>
      <c r="M16" s="175"/>
      <c r="Q16" s="1"/>
      <c r="R16" s="1"/>
      <c r="S16" s="1"/>
      <c r="T16" s="1"/>
      <c r="U16" s="1"/>
      <c r="V16" s="1"/>
      <c r="W16" s="1"/>
      <c r="X16" s="1"/>
      <c r="Y16" s="1"/>
      <c r="Z16" s="1"/>
      <c r="AA16" s="1"/>
      <c r="AB16" s="1"/>
      <c r="AC16" s="1"/>
    </row>
    <row r="17" spans="1:29" s="66" customFormat="1">
      <c r="A17" s="177"/>
      <c r="B17" s="175"/>
      <c r="C17" s="175"/>
      <c r="D17" s="175"/>
      <c r="E17" s="175"/>
      <c r="F17" s="175"/>
      <c r="G17" s="176"/>
      <c r="H17" s="175"/>
      <c r="I17" s="175"/>
      <c r="J17" s="175"/>
      <c r="K17" s="175"/>
      <c r="L17" s="175"/>
      <c r="M17" s="175"/>
      <c r="Q17" s="1"/>
      <c r="R17" s="1"/>
      <c r="S17" s="1"/>
      <c r="T17" s="1"/>
      <c r="U17" s="1"/>
      <c r="V17" s="1"/>
      <c r="W17" s="1"/>
      <c r="X17" s="1"/>
      <c r="Y17" s="1"/>
      <c r="Z17" s="1"/>
      <c r="AA17" s="1"/>
      <c r="AB17" s="1"/>
      <c r="AC17" s="1"/>
    </row>
    <row r="18" spans="1:29" s="66" customFormat="1">
      <c r="A18" s="177"/>
      <c r="B18" s="175"/>
      <c r="C18" s="175"/>
      <c r="D18" s="175"/>
      <c r="E18" s="175"/>
      <c r="F18" s="175"/>
      <c r="G18" s="176"/>
      <c r="H18" s="175"/>
      <c r="I18" s="175"/>
      <c r="J18" s="175"/>
      <c r="K18" s="175"/>
      <c r="L18" s="175"/>
      <c r="M18" s="175"/>
      <c r="Q18" s="1"/>
      <c r="R18" s="1"/>
      <c r="S18" s="1"/>
      <c r="T18" s="191"/>
      <c r="U18" s="1"/>
      <c r="V18" s="1"/>
      <c r="W18" s="1"/>
      <c r="X18" s="1"/>
      <c r="Y18" s="1"/>
      <c r="Z18" s="1"/>
      <c r="AA18" s="1"/>
      <c r="AB18" s="1"/>
      <c r="AC18" s="1"/>
    </row>
    <row r="19" spans="1:29" s="66" customFormat="1">
      <c r="A19" s="177"/>
      <c r="B19" s="175"/>
      <c r="C19" s="175"/>
      <c r="D19" s="175"/>
      <c r="E19" s="175"/>
      <c r="F19" s="175"/>
      <c r="G19" s="176"/>
      <c r="H19" s="175"/>
      <c r="I19" s="175"/>
      <c r="J19" s="175"/>
      <c r="K19" s="175"/>
      <c r="L19" s="175"/>
      <c r="M19" s="175"/>
      <c r="Q19" s="1"/>
      <c r="R19" s="1"/>
      <c r="S19" s="1"/>
      <c r="T19" s="1"/>
      <c r="U19" s="1"/>
      <c r="V19" s="1"/>
      <c r="W19" s="1"/>
      <c r="X19" s="1"/>
      <c r="Y19" s="1"/>
      <c r="Z19" s="1"/>
      <c r="AA19" s="1"/>
      <c r="AB19" s="1"/>
      <c r="AC19" s="1"/>
    </row>
    <row r="20" spans="1:29" s="66" customFormat="1">
      <c r="A20" s="177"/>
      <c r="B20" s="175"/>
      <c r="C20" s="175"/>
      <c r="D20" s="175"/>
      <c r="E20" s="175"/>
      <c r="F20" s="175"/>
      <c r="G20" s="176"/>
      <c r="H20" s="175"/>
      <c r="I20" s="175"/>
      <c r="J20" s="175"/>
      <c r="K20" s="175"/>
      <c r="L20" s="175"/>
      <c r="M20" s="175"/>
      <c r="Q20" s="1"/>
      <c r="R20" s="1"/>
      <c r="S20" s="1"/>
      <c r="T20" s="1"/>
      <c r="U20" s="1"/>
      <c r="V20" s="1"/>
      <c r="W20" s="1"/>
      <c r="X20" s="1"/>
      <c r="Y20" s="1"/>
      <c r="Z20" s="1"/>
      <c r="AA20" s="1"/>
      <c r="AB20" s="1"/>
      <c r="AC20" s="1"/>
    </row>
    <row r="21" spans="1:29" s="66" customFormat="1">
      <c r="A21" s="177"/>
      <c r="B21" s="175"/>
      <c r="C21" s="175"/>
      <c r="D21" s="175"/>
      <c r="E21" s="175"/>
      <c r="F21" s="175"/>
      <c r="G21" s="176"/>
      <c r="H21" s="175"/>
      <c r="I21" s="175"/>
      <c r="J21" s="175"/>
      <c r="K21" s="175"/>
      <c r="L21" s="175"/>
      <c r="M21" s="175"/>
      <c r="Q21" s="1"/>
      <c r="R21" s="1"/>
      <c r="S21" s="1"/>
      <c r="T21" s="1"/>
      <c r="U21" s="1"/>
      <c r="V21" s="1"/>
      <c r="W21" s="1"/>
      <c r="X21" s="1"/>
      <c r="Y21" s="1"/>
      <c r="Z21" s="1"/>
      <c r="AA21" s="1"/>
      <c r="AB21" s="1"/>
      <c r="AC21" s="1"/>
    </row>
    <row r="22" spans="1:29" s="66" customFormat="1">
      <c r="A22" s="177"/>
      <c r="B22" s="175"/>
      <c r="C22" s="175"/>
      <c r="D22" s="175"/>
      <c r="E22" s="175"/>
      <c r="F22" s="175"/>
      <c r="G22" s="176"/>
      <c r="H22" s="175"/>
      <c r="I22" s="175"/>
      <c r="J22" s="175"/>
      <c r="K22" s="175"/>
      <c r="L22" s="175"/>
      <c r="M22" s="175"/>
      <c r="Q22" s="1"/>
      <c r="R22" s="1"/>
      <c r="S22" s="1"/>
      <c r="T22" s="1"/>
      <c r="U22" s="1"/>
      <c r="V22" s="1"/>
      <c r="W22" s="1"/>
      <c r="X22" s="1"/>
      <c r="Y22" s="1"/>
      <c r="Z22" s="1"/>
      <c r="AA22" s="1"/>
      <c r="AB22" s="1"/>
      <c r="AC22" s="1"/>
    </row>
    <row r="23" spans="1:29" s="66" customFormat="1">
      <c r="A23" s="74"/>
      <c r="B23" s="74"/>
      <c r="C23" s="74"/>
      <c r="D23" s="74"/>
      <c r="E23" s="74"/>
      <c r="F23" s="74"/>
      <c r="G23" s="55"/>
      <c r="H23" s="81"/>
      <c r="I23" s="81"/>
      <c r="Q23" s="1"/>
      <c r="R23" s="1"/>
      <c r="S23" s="1"/>
      <c r="T23" s="1"/>
      <c r="U23" s="1"/>
      <c r="V23" s="1"/>
      <c r="W23" s="1"/>
      <c r="X23" s="1"/>
      <c r="Y23" s="1"/>
      <c r="Z23" s="1"/>
      <c r="AA23" s="1"/>
      <c r="AB23" s="1"/>
      <c r="AC23" s="1"/>
    </row>
    <row r="24" spans="1:29" s="66" customFormat="1">
      <c r="A24" s="74"/>
      <c r="B24" s="74"/>
      <c r="C24" s="74"/>
      <c r="D24" s="74"/>
      <c r="E24" s="74"/>
      <c r="F24" s="74"/>
      <c r="G24" s="55"/>
      <c r="H24" s="81"/>
      <c r="I24" s="80"/>
      <c r="Q24" s="1"/>
      <c r="R24" s="1"/>
      <c r="S24" s="1"/>
      <c r="T24" s="192"/>
      <c r="U24" s="1"/>
      <c r="V24" s="1"/>
      <c r="W24" s="1"/>
      <c r="X24" s="1"/>
      <c r="Y24" s="1"/>
      <c r="Z24" s="1"/>
      <c r="AA24" s="1"/>
      <c r="AB24" s="1"/>
      <c r="AC24" s="1"/>
    </row>
    <row r="25" spans="1:29" s="66" customFormat="1">
      <c r="A25" s="74"/>
      <c r="B25" s="74"/>
      <c r="C25" s="74"/>
      <c r="D25" s="74"/>
      <c r="E25" s="74"/>
      <c r="F25" s="74"/>
      <c r="G25" s="55"/>
      <c r="H25" s="81"/>
      <c r="I25" s="80"/>
      <c r="Q25" s="1"/>
      <c r="R25" s="1"/>
      <c r="S25" s="1"/>
      <c r="T25" s="1"/>
      <c r="U25" s="1"/>
      <c r="V25" s="1"/>
      <c r="W25" s="1"/>
      <c r="X25" s="1"/>
      <c r="Y25" s="1"/>
      <c r="Z25" s="1"/>
      <c r="AA25" s="1"/>
      <c r="AB25" s="1"/>
      <c r="AC25" s="1"/>
    </row>
    <row r="26" spans="1:29" s="66" customFormat="1">
      <c r="A26" s="74"/>
      <c r="B26" s="74"/>
      <c r="C26" s="74"/>
      <c r="D26" s="74"/>
      <c r="E26" s="74"/>
      <c r="F26" s="74"/>
      <c r="G26" s="55"/>
      <c r="H26" s="81"/>
      <c r="I26" s="81"/>
      <c r="Q26" s="1"/>
      <c r="R26" s="1"/>
      <c r="S26" s="1"/>
      <c r="T26" s="1"/>
      <c r="U26" s="1"/>
      <c r="V26" s="1"/>
      <c r="W26" s="1"/>
      <c r="X26" s="1"/>
      <c r="Y26" s="1"/>
      <c r="Z26" s="1"/>
      <c r="AA26" s="1"/>
      <c r="AB26" s="1"/>
      <c r="AC26" s="1"/>
    </row>
    <row r="27" spans="1:29" s="66" customFormat="1">
      <c r="A27" s="74"/>
      <c r="B27" s="74"/>
      <c r="C27" s="74"/>
      <c r="D27" s="74"/>
      <c r="E27" s="74"/>
      <c r="F27" s="74"/>
      <c r="G27" s="55"/>
      <c r="H27" s="81"/>
      <c r="I27" s="81"/>
      <c r="Q27" s="1"/>
      <c r="R27" s="1"/>
      <c r="S27" s="1"/>
      <c r="T27" s="1"/>
      <c r="U27" s="1"/>
      <c r="V27" s="1"/>
      <c r="W27" s="1"/>
      <c r="X27" s="1"/>
      <c r="Y27" s="1"/>
      <c r="Z27" s="1"/>
      <c r="AA27" s="1"/>
      <c r="AB27" s="1"/>
      <c r="AC27" s="1"/>
    </row>
    <row r="28" spans="1:29" s="66" customFormat="1">
      <c r="A28" s="74"/>
      <c r="B28" s="74"/>
      <c r="C28" s="74"/>
      <c r="D28" s="74"/>
      <c r="E28" s="24"/>
      <c r="F28" s="74"/>
      <c r="G28" s="55"/>
      <c r="H28" s="81"/>
      <c r="I28" s="81"/>
      <c r="Q28" s="1"/>
      <c r="R28" s="1"/>
      <c r="S28" s="1"/>
      <c r="T28" s="1"/>
      <c r="U28" s="1"/>
      <c r="V28" s="1"/>
      <c r="W28" s="1"/>
      <c r="X28" s="1"/>
      <c r="Y28" s="1"/>
      <c r="Z28" s="1"/>
      <c r="AA28" s="1"/>
      <c r="AB28" s="1"/>
      <c r="AC28" s="1"/>
    </row>
    <row r="29" spans="1:29" s="66" customFormat="1">
      <c r="A29" s="74"/>
      <c r="B29" s="74"/>
      <c r="C29" s="74"/>
      <c r="D29" s="74"/>
      <c r="E29" s="24"/>
      <c r="F29" s="74"/>
      <c r="G29" s="55"/>
      <c r="H29" s="81"/>
      <c r="I29" s="81"/>
      <c r="Q29" s="1"/>
      <c r="R29" s="1"/>
      <c r="S29" s="1"/>
      <c r="T29" s="1"/>
      <c r="U29" s="1"/>
      <c r="V29" s="1"/>
      <c r="W29" s="1"/>
      <c r="X29" s="1"/>
      <c r="Y29" s="1"/>
      <c r="Z29" s="1"/>
      <c r="AA29" s="1"/>
      <c r="AB29" s="1"/>
      <c r="AC29" s="1"/>
    </row>
    <row r="30" spans="1:29" s="66" customFormat="1">
      <c r="A30" s="74"/>
      <c r="B30" s="74"/>
      <c r="C30" s="74"/>
      <c r="D30" s="74"/>
      <c r="E30" s="74"/>
      <c r="F30" s="74"/>
      <c r="G30" s="55"/>
      <c r="H30" s="81"/>
      <c r="I30" s="81"/>
      <c r="Q30" s="1"/>
      <c r="R30" s="1"/>
      <c r="S30" s="1"/>
      <c r="T30" s="1"/>
      <c r="U30" s="1"/>
      <c r="V30" s="1"/>
      <c r="W30" s="1"/>
      <c r="X30" s="1"/>
      <c r="Y30" s="1"/>
      <c r="Z30" s="1"/>
      <c r="AA30" s="1"/>
      <c r="AB30" s="1"/>
      <c r="AC30" s="1"/>
    </row>
    <row r="31" spans="1:29" s="66" customFormat="1">
      <c r="A31" s="74"/>
      <c r="B31" s="74"/>
      <c r="C31" s="74"/>
      <c r="D31" s="74"/>
      <c r="E31" s="74"/>
      <c r="F31" s="74"/>
      <c r="G31" s="55"/>
      <c r="H31" s="81"/>
      <c r="I31" s="80"/>
      <c r="Q31" s="1"/>
      <c r="R31" s="1"/>
      <c r="S31" s="1"/>
      <c r="T31" s="1"/>
      <c r="U31" s="1"/>
      <c r="V31" s="1"/>
      <c r="W31" s="1"/>
      <c r="X31" s="1"/>
      <c r="Y31" s="1"/>
      <c r="Z31" s="1"/>
      <c r="AA31" s="1"/>
      <c r="AB31" s="1"/>
      <c r="AC31" s="1"/>
    </row>
    <row r="32" spans="1:29" s="66" customFormat="1">
      <c r="A32" s="74"/>
      <c r="B32" s="74"/>
      <c r="C32" s="74"/>
      <c r="D32" s="74"/>
      <c r="E32" s="74"/>
      <c r="F32" s="74"/>
      <c r="G32" s="55"/>
      <c r="H32" s="81"/>
      <c r="I32" s="80"/>
      <c r="Q32" s="1"/>
      <c r="R32" s="1"/>
      <c r="S32" s="1"/>
      <c r="T32" s="1"/>
      <c r="U32" s="1"/>
      <c r="V32" s="1"/>
      <c r="W32" s="1"/>
      <c r="X32" s="1"/>
      <c r="Y32" s="1"/>
      <c r="Z32" s="1"/>
      <c r="AA32" s="1"/>
      <c r="AB32" s="1"/>
      <c r="AC32" s="1"/>
    </row>
    <row r="33" spans="1:28" s="66" customFormat="1">
      <c r="A33" s="74"/>
      <c r="B33" s="74"/>
      <c r="C33" s="74"/>
      <c r="D33" s="74"/>
      <c r="E33" s="74"/>
      <c r="F33" s="74"/>
      <c r="G33" s="55"/>
      <c r="H33" s="81"/>
      <c r="I33" s="81"/>
      <c r="Q33" s="66" t="s">
        <v>325</v>
      </c>
      <c r="R33" s="66" t="s">
        <v>324</v>
      </c>
      <c r="S33" s="66" t="s">
        <v>327</v>
      </c>
    </row>
    <row r="34" spans="1:28" s="66" customFormat="1">
      <c r="A34" s="74"/>
      <c r="B34" s="74"/>
      <c r="C34" s="74"/>
      <c r="D34" s="74"/>
      <c r="E34" s="74"/>
      <c r="F34" s="74"/>
      <c r="G34" s="55"/>
      <c r="H34" s="81"/>
      <c r="I34" s="81"/>
      <c r="Q34" s="66">
        <f>4/1000</f>
        <v>4.0000000000000001E-3</v>
      </c>
      <c r="R34" s="66">
        <f>1/1000</f>
        <v>1E-3</v>
      </c>
      <c r="S34" s="80">
        <f>5/1000</f>
        <v>5.0000000000000001E-3</v>
      </c>
    </row>
    <row r="35" spans="1:28" s="66" customFormat="1">
      <c r="A35" s="74"/>
      <c r="B35" s="74"/>
      <c r="C35" s="74"/>
      <c r="D35" s="74"/>
      <c r="E35" s="24"/>
      <c r="F35" s="74"/>
      <c r="G35" s="55"/>
      <c r="H35" s="81"/>
      <c r="I35" s="81"/>
      <c r="X35" s="66" t="s">
        <v>343</v>
      </c>
    </row>
    <row r="36" spans="1:28" s="66" customFormat="1">
      <c r="A36" s="74"/>
      <c r="B36" s="74"/>
      <c r="C36" s="74"/>
      <c r="D36" s="74"/>
      <c r="E36" s="24"/>
      <c r="F36" s="74"/>
      <c r="G36" s="55"/>
      <c r="H36" s="81"/>
      <c r="I36" s="81"/>
      <c r="X36" s="91"/>
    </row>
    <row r="37" spans="1:28" s="66" customFormat="1">
      <c r="A37" s="74"/>
      <c r="B37" s="74"/>
      <c r="C37" s="74"/>
      <c r="D37" s="74"/>
      <c r="E37" s="74"/>
      <c r="F37" s="74"/>
      <c r="G37" s="55"/>
      <c r="H37" s="81"/>
      <c r="I37" s="81"/>
      <c r="R37" s="66">
        <f>H5/L5*1000+I5*1000</f>
        <v>17.866874118180569</v>
      </c>
      <c r="S37" s="66">
        <f>4*6.5</f>
        <v>26</v>
      </c>
      <c r="X37" s="128"/>
      <c r="Y37" s="139" t="s">
        <v>336</v>
      </c>
      <c r="Z37" s="174"/>
      <c r="AA37" s="139" t="s">
        <v>337</v>
      </c>
      <c r="AB37" s="137"/>
    </row>
    <row r="38" spans="1:28" s="66" customFormat="1">
      <c r="A38" s="74"/>
      <c r="B38" s="74"/>
      <c r="C38" s="74"/>
      <c r="D38" s="74"/>
      <c r="E38" s="74"/>
      <c r="F38" s="74"/>
      <c r="G38" s="55"/>
      <c r="H38" s="81"/>
      <c r="I38" s="81"/>
      <c r="X38" s="140" t="s">
        <v>338</v>
      </c>
      <c r="Y38" s="128">
        <f>5*15*1.1+14</f>
        <v>96.5</v>
      </c>
      <c r="Z38" s="89" t="s">
        <v>332</v>
      </c>
      <c r="AA38" s="128">
        <f>18*15*1.1+14</f>
        <v>311</v>
      </c>
      <c r="AB38" s="129" t="s">
        <v>332</v>
      </c>
    </row>
    <row r="39" spans="1:28" s="66" customFormat="1">
      <c r="A39" s="74"/>
      <c r="B39" s="74"/>
      <c r="C39" s="74"/>
      <c r="D39" s="74"/>
      <c r="E39" s="74"/>
      <c r="F39" s="74"/>
      <c r="G39" s="55"/>
      <c r="H39" s="81"/>
      <c r="I39" s="81"/>
      <c r="X39" s="130"/>
      <c r="Y39" s="130">
        <f>+Y38*7.45</f>
        <v>718.92500000000007</v>
      </c>
      <c r="Z39" s="54" t="s">
        <v>331</v>
      </c>
      <c r="AA39" s="130">
        <f>+AA38*7.45</f>
        <v>2316.9500000000003</v>
      </c>
      <c r="AB39" s="131" t="s">
        <v>331</v>
      </c>
    </row>
    <row r="40" spans="1:28" s="66" customFormat="1">
      <c r="A40" s="74"/>
      <c r="B40" s="74"/>
      <c r="C40" s="74"/>
      <c r="D40" s="74"/>
      <c r="E40" s="74"/>
      <c r="F40" s="74"/>
      <c r="G40" s="55"/>
      <c r="H40" s="81"/>
      <c r="I40" s="81"/>
      <c r="X40" s="130"/>
      <c r="Y40" s="130">
        <f>+Y39/Y44</f>
        <v>0.34749108464296524</v>
      </c>
      <c r="Z40" s="54" t="s">
        <v>328</v>
      </c>
      <c r="AA40" s="130">
        <f>+AA39/AA44</f>
        <v>1.1198935473985718</v>
      </c>
      <c r="AB40" s="131" t="s">
        <v>328</v>
      </c>
    </row>
    <row r="41" spans="1:28" s="66" customFormat="1">
      <c r="A41" s="74"/>
      <c r="B41" s="74"/>
      <c r="C41" s="74"/>
      <c r="D41" s="74"/>
      <c r="E41" s="74"/>
      <c r="F41" s="74"/>
      <c r="G41" s="55"/>
      <c r="H41" s="81"/>
      <c r="I41" s="81"/>
      <c r="J41" s="44"/>
      <c r="K41" s="50"/>
      <c r="X41" s="130"/>
      <c r="Y41" s="132">
        <f>-1*PMT(4%,40,Y39*1000)/Y44</f>
        <v>17.556462105290759</v>
      </c>
      <c r="Z41" s="54" t="s">
        <v>329</v>
      </c>
      <c r="AA41" s="132">
        <f>-1*PMT(4%,40,AA39*1000)/AA44</f>
        <v>56.580929686481092</v>
      </c>
      <c r="AB41" s="131" t="s">
        <v>329</v>
      </c>
    </row>
    <row r="42" spans="1:28" s="66" customFormat="1">
      <c r="A42" s="74"/>
      <c r="B42" s="74"/>
      <c r="C42" s="74"/>
      <c r="D42" s="74"/>
      <c r="E42" s="24"/>
      <c r="F42" s="74"/>
      <c r="G42" s="55"/>
      <c r="H42" s="81"/>
      <c r="I42" s="81"/>
      <c r="J42" s="74"/>
      <c r="K42" s="74"/>
      <c r="X42" s="130"/>
      <c r="Y42" s="130">
        <f>Y41/7.45</f>
        <v>2.3565720946699007</v>
      </c>
      <c r="Z42" s="54" t="s">
        <v>333</v>
      </c>
      <c r="AA42" s="130">
        <f>AA41/7.45</f>
        <v>7.5947556626149115</v>
      </c>
      <c r="AB42" s="131" t="s">
        <v>333</v>
      </c>
    </row>
    <row r="43" spans="1:28" s="66" customFormat="1">
      <c r="A43" s="74"/>
      <c r="B43" s="74"/>
      <c r="C43" s="74"/>
      <c r="D43" s="74"/>
      <c r="E43" s="24"/>
      <c r="F43" s="74"/>
      <c r="G43" s="55"/>
      <c r="H43" s="81"/>
      <c r="I43" s="81"/>
      <c r="J43" s="44"/>
      <c r="K43" s="50"/>
      <c r="X43" s="130"/>
      <c r="Y43" s="133"/>
      <c r="Z43" s="54"/>
      <c r="AA43" s="133"/>
      <c r="AB43" s="131"/>
    </row>
    <row r="44" spans="1:28" s="66" customFormat="1">
      <c r="A44" s="74"/>
      <c r="B44" s="74"/>
      <c r="C44" s="74"/>
      <c r="D44" s="74"/>
      <c r="E44" s="74"/>
      <c r="F44" s="74"/>
      <c r="G44" s="55"/>
      <c r="H44" s="81"/>
      <c r="I44" s="81"/>
      <c r="X44" s="130"/>
      <c r="Y44" s="130">
        <v>2068.902</v>
      </c>
      <c r="Z44" s="54" t="s">
        <v>330</v>
      </c>
      <c r="AA44" s="130">
        <f>$Y$44</f>
        <v>2068.902</v>
      </c>
      <c r="AB44" s="131" t="s">
        <v>330</v>
      </c>
    </row>
    <row r="45" spans="1:28" s="66" customFormat="1">
      <c r="A45" s="74"/>
      <c r="B45" s="74"/>
      <c r="C45" s="74"/>
      <c r="D45" s="74"/>
      <c r="E45" s="74"/>
      <c r="F45" s="74"/>
      <c r="G45" s="55"/>
      <c r="H45" s="81"/>
      <c r="I45" s="81"/>
      <c r="X45" s="130"/>
      <c r="Y45" s="130"/>
      <c r="Z45" s="54"/>
      <c r="AA45" s="130"/>
      <c r="AB45" s="131"/>
    </row>
    <row r="46" spans="1:28" s="66" customFormat="1">
      <c r="A46" s="74"/>
      <c r="B46" s="74"/>
      <c r="C46" s="74"/>
      <c r="D46" s="74"/>
      <c r="E46" s="74"/>
      <c r="F46" s="74"/>
      <c r="G46" s="55"/>
      <c r="H46" s="81"/>
      <c r="I46" s="81"/>
      <c r="X46" s="130"/>
      <c r="Y46" s="130">
        <f>Y39/Y44</f>
        <v>0.34749108464296524</v>
      </c>
      <c r="Z46" s="54" t="s">
        <v>334</v>
      </c>
      <c r="AA46" s="130">
        <f>AA39/AA44</f>
        <v>1.1198935473985718</v>
      </c>
      <c r="AB46" s="131" t="s">
        <v>334</v>
      </c>
    </row>
    <row r="47" spans="1:28" s="66" customFormat="1">
      <c r="A47" s="74"/>
      <c r="B47" s="74"/>
      <c r="C47" s="74"/>
      <c r="D47" s="74"/>
      <c r="E47" s="74"/>
      <c r="F47" s="74"/>
      <c r="G47" s="55"/>
      <c r="H47" s="81"/>
      <c r="I47" s="81"/>
      <c r="J47" s="44"/>
      <c r="K47" s="50"/>
      <c r="X47" s="130"/>
      <c r="Y47" s="130">
        <f>Y38/Y44</f>
        <v>4.6643098609793987E-2</v>
      </c>
      <c r="Z47" s="54" t="s">
        <v>335</v>
      </c>
      <c r="AA47" s="130">
        <f>AA38/AA44</f>
        <v>0.15032128153000965</v>
      </c>
      <c r="AB47" s="131" t="s">
        <v>335</v>
      </c>
    </row>
    <row r="48" spans="1:28" s="66" customFormat="1">
      <c r="A48" s="74"/>
      <c r="B48" s="74"/>
      <c r="C48" s="74"/>
      <c r="D48" s="74"/>
      <c r="E48" s="74"/>
      <c r="F48" s="74"/>
      <c r="G48" s="55"/>
      <c r="H48" s="81"/>
      <c r="I48" s="81"/>
      <c r="L48" s="74"/>
      <c r="M48" s="74"/>
      <c r="X48" s="128" t="s">
        <v>339</v>
      </c>
      <c r="Y48" s="128">
        <f>5*15*1.1+28</f>
        <v>110.5</v>
      </c>
      <c r="Z48" s="89" t="s">
        <v>332</v>
      </c>
      <c r="AA48" s="128">
        <f>18*15*1.1+28</f>
        <v>325</v>
      </c>
      <c r="AB48" s="129" t="s">
        <v>332</v>
      </c>
    </row>
    <row r="49" spans="1:30" s="66" customFormat="1">
      <c r="A49" s="74"/>
      <c r="B49" s="74"/>
      <c r="C49" s="74"/>
      <c r="D49" s="74"/>
      <c r="E49" s="24"/>
      <c r="F49" s="74"/>
      <c r="G49" s="55"/>
      <c r="H49" s="81"/>
      <c r="I49" s="81"/>
      <c r="J49" s="44"/>
      <c r="K49" s="50"/>
      <c r="L49" s="74"/>
      <c r="M49" s="74"/>
      <c r="X49" s="133"/>
      <c r="Y49" s="130">
        <f>+Y48*7.45</f>
        <v>823.22500000000002</v>
      </c>
      <c r="Z49" s="54" t="s">
        <v>331</v>
      </c>
      <c r="AA49" s="130">
        <f>+AA48*7.45</f>
        <v>2421.25</v>
      </c>
      <c r="AB49" s="131" t="s">
        <v>331</v>
      </c>
    </row>
    <row r="50" spans="1:30" s="66" customFormat="1">
      <c r="A50" s="74"/>
      <c r="B50" s="74"/>
      <c r="C50" s="74"/>
      <c r="D50" s="74"/>
      <c r="E50" s="24"/>
      <c r="F50" s="74"/>
      <c r="G50" s="55"/>
      <c r="H50" s="81"/>
      <c r="I50" s="81"/>
      <c r="J50" s="74"/>
      <c r="K50" s="74"/>
      <c r="L50" s="74"/>
      <c r="M50" s="74"/>
      <c r="X50" s="133"/>
      <c r="Y50" s="130">
        <f>+Y49/Y54</f>
        <v>0.39790429899531249</v>
      </c>
      <c r="Z50" s="54" t="s">
        <v>328</v>
      </c>
      <c r="AA50" s="130">
        <f>+AA49/AA54</f>
        <v>1.1703067617509191</v>
      </c>
      <c r="AB50" s="131" t="s">
        <v>328</v>
      </c>
    </row>
    <row r="51" spans="1:30" s="66" customFormat="1">
      <c r="A51" s="74"/>
      <c r="B51" s="74"/>
      <c r="C51" s="74"/>
      <c r="D51" s="74"/>
      <c r="E51" s="74"/>
      <c r="F51" s="74"/>
      <c r="G51" s="55"/>
      <c r="H51" s="81"/>
      <c r="I51" s="81"/>
      <c r="X51" s="133"/>
      <c r="Y51" s="132">
        <f>-1*PMT(4%,40,Y49*1000)/Y54</f>
        <v>20.103513602431377</v>
      </c>
      <c r="Z51" s="54" t="s">
        <v>329</v>
      </c>
      <c r="AA51" s="132">
        <f>-1*PMT(4%,40,AA49*1000)/AA54</f>
        <v>59.127981183621699</v>
      </c>
      <c r="AB51" s="131" t="s">
        <v>329</v>
      </c>
    </row>
    <row r="52" spans="1:30" s="66" customFormat="1">
      <c r="A52" s="74"/>
      <c r="B52" s="74"/>
      <c r="C52" s="74"/>
      <c r="D52" s="74"/>
      <c r="E52" s="74"/>
      <c r="F52" s="74"/>
      <c r="G52" s="55"/>
      <c r="H52" s="80"/>
      <c r="I52" s="80"/>
      <c r="X52" s="133"/>
      <c r="Y52" s="130">
        <f>Y51/7.45</f>
        <v>2.6984582016686414</v>
      </c>
      <c r="Z52" s="54" t="s">
        <v>333</v>
      </c>
      <c r="AA52" s="130">
        <f>AA51/7.45</f>
        <v>7.9366417696136509</v>
      </c>
      <c r="AB52" s="131" t="s">
        <v>333</v>
      </c>
    </row>
    <row r="53" spans="1:30" s="66" customFormat="1">
      <c r="A53" s="74"/>
      <c r="B53" s="74"/>
      <c r="C53" s="74"/>
      <c r="D53" s="74"/>
      <c r="E53" s="74"/>
      <c r="F53" s="74"/>
      <c r="G53" s="55"/>
      <c r="H53" s="80"/>
      <c r="I53" s="80"/>
      <c r="X53" s="133"/>
      <c r="Y53" s="130"/>
      <c r="Z53" s="54"/>
      <c r="AA53" s="130"/>
      <c r="AB53" s="131"/>
    </row>
    <row r="54" spans="1:30" s="66" customFormat="1">
      <c r="A54" s="74"/>
      <c r="B54" s="74"/>
      <c r="C54" s="74"/>
      <c r="D54" s="74"/>
      <c r="E54" s="74"/>
      <c r="F54" s="74"/>
      <c r="G54" s="55"/>
      <c r="H54" s="81"/>
      <c r="I54" s="81"/>
      <c r="J54" s="44"/>
      <c r="K54" s="50"/>
      <c r="X54" s="133"/>
      <c r="Y54" s="130">
        <f>$Y$44</f>
        <v>2068.902</v>
      </c>
      <c r="Z54" s="54" t="s">
        <v>330</v>
      </c>
      <c r="AA54" s="130">
        <f>$Y$44</f>
        <v>2068.902</v>
      </c>
      <c r="AB54" s="131" t="s">
        <v>330</v>
      </c>
    </row>
    <row r="55" spans="1:30" s="66" customFormat="1">
      <c r="A55" s="74"/>
      <c r="B55" s="74"/>
      <c r="C55" s="74"/>
      <c r="D55" s="74"/>
      <c r="E55" s="74"/>
      <c r="F55" s="74"/>
      <c r="G55" s="55"/>
      <c r="H55" s="81"/>
      <c r="I55" s="81"/>
      <c r="L55" s="74"/>
      <c r="M55" s="74"/>
      <c r="X55" s="133"/>
      <c r="Y55" s="133"/>
      <c r="Z55" s="24"/>
      <c r="AA55" s="133"/>
      <c r="AB55" s="134"/>
    </row>
    <row r="56" spans="1:30" s="66" customFormat="1">
      <c r="A56" s="74"/>
      <c r="B56" s="74"/>
      <c r="C56" s="74"/>
      <c r="D56" s="74"/>
      <c r="E56" s="24"/>
      <c r="F56" s="74"/>
      <c r="G56" s="55"/>
      <c r="H56" s="81"/>
      <c r="I56" s="81"/>
      <c r="J56" s="44"/>
      <c r="K56" s="50"/>
      <c r="L56" s="74"/>
      <c r="M56" s="74"/>
      <c r="X56" s="133"/>
      <c r="Y56" s="130">
        <f>Y49/Y54</f>
        <v>0.39790429899531249</v>
      </c>
      <c r="Z56" s="54" t="s">
        <v>334</v>
      </c>
      <c r="AA56" s="130">
        <f>AA49/AA54</f>
        <v>1.1703067617509191</v>
      </c>
      <c r="AB56" s="131" t="s">
        <v>334</v>
      </c>
    </row>
    <row r="57" spans="1:30" s="66" customFormat="1">
      <c r="A57" s="74"/>
      <c r="B57" s="74"/>
      <c r="C57" s="74"/>
      <c r="D57" s="74"/>
      <c r="E57" s="24"/>
      <c r="F57" s="74"/>
      <c r="G57" s="55"/>
      <c r="H57" s="81"/>
      <c r="I57" s="81"/>
      <c r="J57" s="74"/>
      <c r="K57" s="74"/>
      <c r="L57" s="74"/>
      <c r="M57" s="74"/>
      <c r="S57" s="80"/>
      <c r="X57" s="138"/>
      <c r="Y57" s="135">
        <f>Y48/Y54</f>
        <v>5.3409973019505029E-2</v>
      </c>
      <c r="Z57" s="48" t="s">
        <v>335</v>
      </c>
      <c r="AA57" s="135">
        <f>AA48/AA54</f>
        <v>0.15708815593972067</v>
      </c>
      <c r="AB57" s="136" t="s">
        <v>335</v>
      </c>
    </row>
    <row r="58" spans="1:30" s="66" customFormat="1">
      <c r="A58" s="74"/>
      <c r="B58" s="74"/>
      <c r="C58" s="74"/>
      <c r="D58" s="74"/>
      <c r="E58" s="74"/>
      <c r="F58" s="74"/>
      <c r="G58" s="55"/>
      <c r="H58" s="81"/>
      <c r="I58" s="81"/>
      <c r="R58" s="81"/>
      <c r="S58" s="80"/>
    </row>
    <row r="59" spans="1:30" s="66" customFormat="1">
      <c r="A59" s="74"/>
      <c r="B59" s="74"/>
      <c r="C59" s="74"/>
      <c r="D59" s="74"/>
      <c r="E59" s="74"/>
      <c r="F59" s="74"/>
      <c r="G59" s="55"/>
      <c r="H59" s="80"/>
      <c r="I59" s="80"/>
      <c r="R59" s="81"/>
      <c r="S59" s="80"/>
      <c r="X59" s="66" t="s">
        <v>340</v>
      </c>
    </row>
    <row r="60" spans="1:30" s="66" customFormat="1">
      <c r="A60" s="74"/>
      <c r="B60" s="74"/>
      <c r="C60" s="74"/>
      <c r="D60" s="74"/>
      <c r="E60" s="74"/>
      <c r="F60" s="74"/>
      <c r="G60" s="55"/>
      <c r="H60" s="80"/>
      <c r="I60" s="80"/>
      <c r="S60" s="80"/>
      <c r="X60" s="128"/>
      <c r="Y60" s="139" t="s">
        <v>336</v>
      </c>
      <c r="Z60" s="174"/>
      <c r="AA60" s="139" t="s">
        <v>337</v>
      </c>
      <c r="AB60" s="137"/>
    </row>
    <row r="61" spans="1:30">
      <c r="A61" s="74"/>
      <c r="B61" s="74"/>
      <c r="C61" s="74"/>
      <c r="D61" s="74"/>
      <c r="E61" s="74"/>
      <c r="F61" s="74"/>
      <c r="G61" s="55"/>
      <c r="H61" s="81"/>
      <c r="I61" s="81"/>
      <c r="J61" s="44"/>
      <c r="K61" s="50"/>
      <c r="L61" s="66"/>
      <c r="M61" s="66"/>
      <c r="N61" s="66"/>
      <c r="O61" s="66"/>
      <c r="P61" s="66"/>
      <c r="Q61" s="66"/>
      <c r="R61" s="66"/>
      <c r="S61" s="80"/>
      <c r="T61" s="66"/>
      <c r="U61" s="66"/>
      <c r="V61" s="66"/>
      <c r="W61" s="66"/>
      <c r="X61" s="140" t="s">
        <v>338</v>
      </c>
      <c r="Y61" s="128">
        <f>1+2</f>
        <v>3</v>
      </c>
      <c r="Z61" s="89" t="s">
        <v>332</v>
      </c>
      <c r="AA61" s="128">
        <f>1+2</f>
        <v>3</v>
      </c>
      <c r="AB61" s="129" t="s">
        <v>332</v>
      </c>
      <c r="AC61" s="66"/>
      <c r="AD61" s="66"/>
    </row>
    <row r="62" spans="1:30">
      <c r="A62" s="74"/>
      <c r="B62" s="74"/>
      <c r="C62" s="74"/>
      <c r="D62" s="74"/>
      <c r="E62" s="74"/>
      <c r="F62" s="74"/>
      <c r="G62" s="55"/>
      <c r="H62" s="81"/>
      <c r="I62" s="81"/>
      <c r="J62" s="66"/>
      <c r="K62" s="66"/>
      <c r="L62" s="74"/>
      <c r="M62" s="74"/>
      <c r="N62" s="66"/>
      <c r="O62" s="66"/>
      <c r="P62" s="66"/>
      <c r="Q62" s="66"/>
      <c r="R62" s="66"/>
      <c r="S62" s="80"/>
      <c r="T62" s="66"/>
      <c r="U62" s="66"/>
      <c r="V62" s="66"/>
      <c r="W62" s="66"/>
      <c r="X62" s="130"/>
      <c r="Y62" s="130">
        <f>Y61*7.45</f>
        <v>22.35</v>
      </c>
      <c r="Z62" s="54" t="s">
        <v>331</v>
      </c>
      <c r="AA62" s="130">
        <f>AA61*7.45</f>
        <v>22.35</v>
      </c>
      <c r="AB62" s="131" t="s">
        <v>331</v>
      </c>
      <c r="AC62" s="66"/>
      <c r="AD62" s="66"/>
    </row>
    <row r="63" spans="1:30">
      <c r="Q63" s="66"/>
      <c r="R63" s="66"/>
      <c r="S63" s="80"/>
      <c r="T63" s="66"/>
      <c r="U63" s="66"/>
      <c r="V63" s="66"/>
      <c r="W63" s="66"/>
      <c r="X63" s="130"/>
      <c r="Y63" s="130"/>
      <c r="Z63" s="54"/>
      <c r="AA63" s="130"/>
      <c r="AB63" s="131"/>
      <c r="AC63" s="66"/>
      <c r="AD63" s="66"/>
    </row>
    <row r="64" spans="1:30">
      <c r="Q64" s="66"/>
      <c r="R64" s="66"/>
      <c r="S64" s="80"/>
      <c r="T64" s="66"/>
      <c r="U64" s="66"/>
      <c r="V64" s="66"/>
      <c r="W64" s="66"/>
      <c r="X64" s="130"/>
      <c r="Y64" s="132">
        <f>Y62/Y44</f>
        <v>1.0802831646931561E-2</v>
      </c>
      <c r="Z64" s="54" t="s">
        <v>342</v>
      </c>
      <c r="AA64" s="132">
        <f>AA62/AA44</f>
        <v>1.0802831646931561E-2</v>
      </c>
      <c r="AB64" s="131" t="s">
        <v>342</v>
      </c>
      <c r="AC64" s="66"/>
      <c r="AD64" s="66"/>
    </row>
    <row r="65" spans="17:30">
      <c r="Q65" s="66"/>
      <c r="R65" s="81"/>
      <c r="S65" s="80"/>
      <c r="T65" s="66"/>
      <c r="U65" s="66"/>
      <c r="V65" s="66"/>
      <c r="W65" s="66"/>
      <c r="X65" s="130"/>
      <c r="Y65" s="133">
        <f>Y64/7.45</f>
        <v>1.4500445163666525E-3</v>
      </c>
      <c r="Z65" s="51" t="s">
        <v>341</v>
      </c>
      <c r="AA65" s="133">
        <f>AA64/7.45</f>
        <v>1.4500445163666525E-3</v>
      </c>
      <c r="AB65" s="141" t="s">
        <v>341</v>
      </c>
      <c r="AC65" s="66"/>
      <c r="AD65" s="66"/>
    </row>
    <row r="66" spans="17:30">
      <c r="Q66" s="66"/>
      <c r="R66" s="81"/>
      <c r="S66" s="80"/>
      <c r="T66" s="66"/>
      <c r="U66" s="66"/>
      <c r="V66" s="66"/>
      <c r="W66" s="66"/>
      <c r="X66" s="130"/>
      <c r="Y66" s="133"/>
      <c r="Z66" s="54"/>
      <c r="AA66" s="133"/>
      <c r="AB66" s="131"/>
      <c r="AC66" s="66"/>
      <c r="AD66" s="66"/>
    </row>
    <row r="67" spans="17:30">
      <c r="Q67" s="66"/>
      <c r="R67" s="66"/>
      <c r="S67" s="80"/>
      <c r="T67" s="66"/>
      <c r="U67" s="66"/>
      <c r="V67" s="66"/>
      <c r="W67" s="66"/>
      <c r="X67" s="130"/>
      <c r="Y67" s="130"/>
      <c r="Z67" s="54"/>
      <c r="AA67" s="130"/>
      <c r="AB67" s="131"/>
      <c r="AC67" s="66"/>
      <c r="AD67" s="66"/>
    </row>
    <row r="68" spans="17:30">
      <c r="Q68" s="66"/>
      <c r="R68" s="66"/>
      <c r="S68" s="80"/>
      <c r="T68" s="66"/>
      <c r="U68" s="66"/>
      <c r="V68" s="66"/>
      <c r="W68" s="66"/>
      <c r="X68" s="130"/>
      <c r="Y68" s="130"/>
      <c r="Z68" s="54"/>
      <c r="AA68" s="130"/>
      <c r="AB68" s="131"/>
      <c r="AC68" s="66"/>
    </row>
    <row r="69" spans="17:30">
      <c r="Q69" s="66"/>
      <c r="R69" s="66"/>
      <c r="S69" s="80"/>
      <c r="T69" s="66"/>
      <c r="U69" s="66"/>
      <c r="V69" s="66"/>
      <c r="W69" s="66"/>
      <c r="X69" s="130"/>
      <c r="Y69" s="130"/>
      <c r="Z69" s="54"/>
      <c r="AA69" s="130"/>
      <c r="AB69" s="131"/>
      <c r="AC69" s="66"/>
    </row>
    <row r="70" spans="17:30">
      <c r="Q70" s="66"/>
      <c r="R70" s="66"/>
      <c r="S70" s="80"/>
      <c r="T70" s="66"/>
      <c r="U70" s="66"/>
      <c r="V70" s="66"/>
      <c r="W70" s="66"/>
      <c r="X70" s="130"/>
      <c r="Y70" s="130"/>
      <c r="Z70" s="54"/>
      <c r="AA70" s="130"/>
      <c r="AB70" s="131"/>
      <c r="AC70" s="66"/>
    </row>
    <row r="71" spans="17:30">
      <c r="Q71" s="66"/>
      <c r="R71" s="66"/>
      <c r="S71" s="81"/>
      <c r="T71" s="66"/>
      <c r="U71" s="66"/>
      <c r="V71" s="66"/>
      <c r="W71" s="66"/>
      <c r="X71" s="128" t="s">
        <v>339</v>
      </c>
      <c r="Y71" s="128">
        <f>1+2</f>
        <v>3</v>
      </c>
      <c r="Z71" s="89" t="s">
        <v>332</v>
      </c>
      <c r="AA71" s="128">
        <f>1+2</f>
        <v>3</v>
      </c>
      <c r="AB71" s="129" t="s">
        <v>332</v>
      </c>
      <c r="AC71" s="66"/>
    </row>
    <row r="72" spans="17:30">
      <c r="Q72" s="66"/>
      <c r="R72" s="81"/>
      <c r="S72" s="81"/>
      <c r="T72" s="66"/>
      <c r="U72" s="66"/>
      <c r="V72" s="66"/>
      <c r="W72" s="66"/>
      <c r="X72" s="133"/>
      <c r="Y72" s="130">
        <f>Y71*7.45</f>
        <v>22.35</v>
      </c>
      <c r="Z72" s="54" t="s">
        <v>331</v>
      </c>
      <c r="AA72" s="130">
        <f>AA71*7.45</f>
        <v>22.35</v>
      </c>
      <c r="AB72" s="131" t="s">
        <v>331</v>
      </c>
      <c r="AC72" s="66"/>
    </row>
    <row r="73" spans="17:30">
      <c r="Q73" s="66"/>
      <c r="R73" s="81"/>
      <c r="S73" s="81"/>
      <c r="T73" s="66"/>
      <c r="U73" s="66"/>
      <c r="V73" s="66"/>
      <c r="W73" s="66"/>
      <c r="X73" s="133"/>
      <c r="Y73" s="130"/>
      <c r="Z73" s="54"/>
      <c r="AA73" s="130"/>
      <c r="AB73" s="131"/>
      <c r="AC73" s="66"/>
    </row>
    <row r="74" spans="17:30">
      <c r="Q74" s="66"/>
      <c r="R74" s="66"/>
      <c r="S74" s="81"/>
      <c r="T74" s="66"/>
      <c r="U74" s="66"/>
      <c r="V74" s="66"/>
      <c r="W74" s="66"/>
      <c r="X74" s="133"/>
      <c r="Y74" s="132">
        <f>Y72/Y54</f>
        <v>1.0802831646931561E-2</v>
      </c>
      <c r="Z74" s="54" t="s">
        <v>342</v>
      </c>
      <c r="AA74" s="132">
        <f>AA72/AA54</f>
        <v>1.0802831646931561E-2</v>
      </c>
      <c r="AB74" s="131" t="s">
        <v>342</v>
      </c>
      <c r="AC74" s="66"/>
    </row>
    <row r="75" spans="17:30">
      <c r="Q75" s="66"/>
      <c r="R75" s="66"/>
      <c r="S75" s="81"/>
      <c r="T75" s="66"/>
      <c r="U75" s="66"/>
      <c r="V75" s="66"/>
      <c r="W75" s="66"/>
      <c r="X75" s="133"/>
      <c r="Y75" s="133">
        <f>Y74/7.45</f>
        <v>1.4500445163666525E-3</v>
      </c>
      <c r="Z75" s="51" t="s">
        <v>341</v>
      </c>
      <c r="AA75" s="133">
        <f>AA74/7.45</f>
        <v>1.4500445163666525E-3</v>
      </c>
      <c r="AB75" s="141" t="s">
        <v>341</v>
      </c>
      <c r="AC75" s="66"/>
    </row>
    <row r="76" spans="17:30">
      <c r="Q76" s="66"/>
      <c r="R76" s="66"/>
      <c r="S76" s="81"/>
      <c r="T76" s="66"/>
      <c r="U76" s="66"/>
      <c r="V76" s="66"/>
      <c r="W76" s="66"/>
      <c r="X76" s="133"/>
      <c r="Y76" s="130"/>
      <c r="Z76" s="54"/>
      <c r="AA76" s="130"/>
      <c r="AB76" s="131"/>
      <c r="AC76" s="66"/>
    </row>
    <row r="77" spans="17:30">
      <c r="Q77" s="66"/>
      <c r="R77" s="66"/>
      <c r="S77" s="81"/>
      <c r="T77" s="66"/>
      <c r="U77" s="66"/>
      <c r="V77" s="66"/>
      <c r="W77" s="66"/>
      <c r="X77" s="133"/>
      <c r="Y77" s="130"/>
      <c r="Z77" s="54"/>
      <c r="AA77" s="130"/>
      <c r="AB77" s="131"/>
      <c r="AC77" s="66"/>
    </row>
    <row r="78" spans="17:30">
      <c r="Q78" s="66"/>
      <c r="R78" s="66"/>
      <c r="S78" s="81"/>
      <c r="T78" s="66"/>
      <c r="U78" s="66"/>
      <c r="V78" s="66"/>
      <c r="W78" s="66"/>
      <c r="X78" s="133"/>
      <c r="Y78" s="133"/>
      <c r="Z78" s="24"/>
      <c r="AA78" s="133"/>
      <c r="AB78" s="134"/>
      <c r="AC78" s="66"/>
    </row>
    <row r="79" spans="17:30">
      <c r="Q79" s="66"/>
      <c r="R79" s="81"/>
      <c r="S79" s="81"/>
      <c r="T79" s="66"/>
      <c r="U79" s="66"/>
      <c r="V79" s="66"/>
      <c r="W79" s="66"/>
      <c r="X79" s="133"/>
      <c r="Y79" s="130"/>
      <c r="Z79" s="54"/>
      <c r="AA79" s="130"/>
      <c r="AB79" s="131"/>
      <c r="AC79" s="66"/>
    </row>
    <row r="80" spans="17:30">
      <c r="Q80" s="66"/>
      <c r="R80" s="81"/>
      <c r="S80" s="81"/>
      <c r="T80" s="66"/>
      <c r="U80" s="66"/>
      <c r="V80" s="66"/>
      <c r="W80" s="66"/>
      <c r="X80" s="138"/>
      <c r="Y80" s="135"/>
      <c r="Z80" s="48"/>
      <c r="AA80" s="135"/>
      <c r="AB80" s="136"/>
      <c r="AC80" s="66"/>
    </row>
    <row r="81" spans="17:29">
      <c r="Q81" s="66"/>
      <c r="R81" s="66"/>
      <c r="S81" s="81"/>
      <c r="T81" s="66"/>
      <c r="U81" s="66"/>
      <c r="V81" s="66"/>
      <c r="W81" s="66"/>
      <c r="X81" s="66"/>
      <c r="Y81" s="66"/>
      <c r="Z81" s="66"/>
      <c r="AA81" s="66"/>
      <c r="AB81" s="66"/>
      <c r="AC81" s="66"/>
    </row>
    <row r="82" spans="17:29">
      <c r="Q82" s="66"/>
      <c r="R82" s="66"/>
      <c r="S82" s="81"/>
      <c r="T82" s="66"/>
      <c r="U82" s="66"/>
      <c r="V82" s="66"/>
      <c r="W82" s="66"/>
      <c r="X82" s="66"/>
      <c r="Y82" s="66"/>
      <c r="Z82" s="66"/>
      <c r="AA82" s="66"/>
      <c r="AB82" s="66"/>
      <c r="AC82" s="66"/>
    </row>
    <row r="83" spans="17:29">
      <c r="Q83" s="66"/>
      <c r="R83" s="66"/>
      <c r="S83" s="81"/>
      <c r="T83" s="66"/>
      <c r="U83" s="66"/>
      <c r="V83" s="66"/>
      <c r="W83" s="66"/>
      <c r="X83" s="66"/>
      <c r="Y83" s="66"/>
      <c r="Z83" s="66"/>
      <c r="AA83" s="66"/>
      <c r="AB83" s="66"/>
      <c r="AC83" s="66"/>
    </row>
    <row r="84" spans="17:29">
      <c r="Q84" s="66"/>
      <c r="R84" s="66"/>
      <c r="S84" s="81"/>
      <c r="T84" s="66"/>
      <c r="U84" s="66"/>
      <c r="V84" s="66"/>
      <c r="W84" s="66"/>
      <c r="X84" s="66"/>
      <c r="Y84" s="66"/>
      <c r="Z84" s="66"/>
      <c r="AA84" s="66"/>
      <c r="AB84" s="66"/>
      <c r="AC84" s="66"/>
    </row>
    <row r="85" spans="17:29">
      <c r="Q85" s="66"/>
      <c r="R85" s="66"/>
      <c r="S85" s="80"/>
      <c r="T85" s="66"/>
      <c r="U85" s="66"/>
      <c r="V85" s="66"/>
      <c r="W85" s="66"/>
      <c r="X85" s="66"/>
      <c r="Y85" s="66"/>
      <c r="Z85" s="66"/>
      <c r="AA85" s="66"/>
      <c r="AB85" s="66"/>
      <c r="AC85" s="66"/>
    </row>
    <row r="86" spans="17:29">
      <c r="Q86" s="66"/>
      <c r="R86" s="80"/>
      <c r="S86" s="80"/>
      <c r="T86" s="66"/>
      <c r="U86" s="66"/>
      <c r="V86" s="66"/>
      <c r="W86" s="66"/>
      <c r="X86" s="66"/>
      <c r="Y86" s="66"/>
      <c r="Z86" s="66"/>
      <c r="AA86" s="66"/>
      <c r="AB86" s="66"/>
      <c r="AC86" s="66"/>
    </row>
    <row r="87" spans="17:29">
      <c r="Q87" s="66"/>
      <c r="R87" s="80"/>
      <c r="S87" s="80"/>
      <c r="T87" s="66"/>
      <c r="U87" s="66"/>
      <c r="V87" s="66"/>
      <c r="W87" s="66"/>
      <c r="X87" s="66"/>
      <c r="Y87" s="66"/>
      <c r="Z87" s="66"/>
      <c r="AA87" s="66"/>
      <c r="AB87" s="66"/>
      <c r="AC87" s="66"/>
    </row>
    <row r="88" spans="17:29">
      <c r="Q88" s="66"/>
      <c r="R88" s="66"/>
      <c r="S88" s="80"/>
      <c r="T88" s="66"/>
      <c r="U88" s="66"/>
      <c r="V88" s="66"/>
      <c r="W88" s="66"/>
      <c r="X88" s="66"/>
      <c r="Y88" s="66"/>
      <c r="Z88" s="66"/>
      <c r="AA88" s="66"/>
      <c r="AB88" s="66"/>
      <c r="AC88" s="66"/>
    </row>
    <row r="89" spans="17:29">
      <c r="Q89" s="66"/>
      <c r="R89" s="66"/>
      <c r="S89" s="80"/>
      <c r="T89" s="66"/>
      <c r="U89" s="66"/>
      <c r="V89" s="66"/>
      <c r="W89" s="66"/>
      <c r="X89" s="66"/>
      <c r="Y89" s="66"/>
      <c r="Z89" s="66"/>
      <c r="AA89" s="66"/>
      <c r="AB89" s="66"/>
      <c r="AC89" s="66"/>
    </row>
    <row r="90" spans="17:29">
      <c r="Q90" s="66"/>
      <c r="R90" s="66"/>
      <c r="S90" s="80"/>
      <c r="T90" s="66"/>
      <c r="U90" s="66"/>
      <c r="V90" s="66"/>
      <c r="W90" s="66"/>
      <c r="X90" s="91"/>
      <c r="Y90" s="91"/>
      <c r="Z90" s="91"/>
      <c r="AA90" s="91"/>
      <c r="AB90" s="91"/>
      <c r="AC90" s="91"/>
    </row>
    <row r="91" spans="17:29">
      <c r="Q91" s="66"/>
      <c r="R91" s="66"/>
      <c r="S91" s="80"/>
      <c r="T91" s="66"/>
      <c r="U91" s="66"/>
      <c r="V91" s="66"/>
      <c r="W91" s="66"/>
      <c r="X91" s="91"/>
      <c r="Y91" s="91"/>
      <c r="Z91" s="91"/>
      <c r="AA91" s="91"/>
      <c r="AB91" s="91"/>
      <c r="AC91" s="91"/>
    </row>
    <row r="92" spans="17:29">
      <c r="Q92" s="66"/>
      <c r="R92" s="66"/>
      <c r="S92" s="80"/>
      <c r="T92" s="66"/>
      <c r="U92" s="66"/>
      <c r="V92" s="66"/>
      <c r="W92" s="66"/>
      <c r="X92" s="91"/>
      <c r="Y92" s="91"/>
      <c r="Z92" s="91"/>
      <c r="AA92" s="91"/>
      <c r="AB92" s="91"/>
      <c r="AC92" s="91"/>
    </row>
    <row r="93" spans="17:29">
      <c r="Q93" s="66"/>
      <c r="R93" s="80"/>
      <c r="S93" s="80"/>
      <c r="T93" s="66"/>
      <c r="U93" s="66"/>
      <c r="V93" s="66"/>
      <c r="W93" s="66"/>
      <c r="X93" s="91"/>
      <c r="Y93" s="91"/>
      <c r="Z93" s="91"/>
      <c r="AA93" s="91"/>
      <c r="AB93" s="91"/>
      <c r="AC93" s="91"/>
    </row>
    <row r="94" spans="17:29">
      <c r="Q94" s="66"/>
      <c r="R94" s="80"/>
      <c r="S94" s="80"/>
      <c r="T94" s="66"/>
      <c r="U94" s="66"/>
      <c r="V94" s="66"/>
      <c r="W94" s="66"/>
      <c r="X94" s="91"/>
      <c r="Y94" s="91"/>
      <c r="Z94" s="91"/>
      <c r="AA94" s="91"/>
      <c r="AB94" s="91"/>
      <c r="AC94" s="91"/>
    </row>
    <row r="95" spans="17:29">
      <c r="Q95" s="66"/>
      <c r="R95" s="66"/>
      <c r="S95" s="80"/>
      <c r="T95" s="66"/>
      <c r="U95" s="66"/>
      <c r="V95" s="66"/>
      <c r="W95" s="66"/>
      <c r="X95" s="91"/>
      <c r="Y95" s="91"/>
      <c r="Z95" s="91"/>
      <c r="AA95" s="91"/>
      <c r="AB95" s="91"/>
      <c r="AC95" s="91"/>
    </row>
    <row r="96" spans="17:29">
      <c r="Q96" s="66"/>
      <c r="R96" s="66"/>
      <c r="S96" s="80"/>
      <c r="T96" s="66"/>
      <c r="U96" s="66"/>
      <c r="V96" s="66"/>
      <c r="W96" s="66"/>
      <c r="X96" s="91"/>
      <c r="Y96" s="91"/>
      <c r="Z96" s="91"/>
      <c r="AA96" s="91"/>
      <c r="AB96" s="91"/>
      <c r="AC96" s="91"/>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B4:P11"/>
  <sheetViews>
    <sheetView showGridLines="0" workbookViewId="0">
      <selection activeCell="C11" sqref="C11"/>
    </sheetView>
  </sheetViews>
  <sheetFormatPr defaultColWidth="9.109375" defaultRowHeight="12.75" customHeight="1"/>
  <cols>
    <col min="1" max="1" width="2.6640625" style="146" customWidth="1"/>
    <col min="2" max="2" width="23.109375" style="146" customWidth="1"/>
    <col min="3" max="3" width="9.88671875" style="146" customWidth="1"/>
    <col min="4" max="16384" width="9.109375" style="146"/>
  </cols>
  <sheetData>
    <row r="4" spans="2:16" ht="12.75" customHeight="1">
      <c r="B4" s="147" t="s">
        <v>210</v>
      </c>
      <c r="C4" s="148"/>
      <c r="D4" s="148"/>
      <c r="E4" s="148"/>
      <c r="F4" s="149"/>
      <c r="G4" s="148"/>
      <c r="H4" s="149" t="s">
        <v>211</v>
      </c>
      <c r="I4" s="148"/>
      <c r="J4" s="148"/>
      <c r="K4" s="148"/>
      <c r="L4" s="148"/>
      <c r="M4" s="148"/>
      <c r="N4" s="148"/>
      <c r="O4" s="148"/>
      <c r="P4" s="36"/>
    </row>
    <row r="5" spans="2:16" ht="12.75" customHeight="1">
      <c r="B5" s="146" t="s">
        <v>212</v>
      </c>
      <c r="C5" s="36"/>
      <c r="D5" s="36"/>
      <c r="E5" s="36"/>
      <c r="F5" s="36"/>
      <c r="G5" s="36"/>
      <c r="H5" s="36"/>
      <c r="I5" s="36"/>
      <c r="J5" s="36"/>
      <c r="K5" s="36"/>
      <c r="L5" s="36"/>
      <c r="M5" s="36"/>
      <c r="N5" s="36"/>
      <c r="O5" s="36"/>
      <c r="P5" s="36"/>
    </row>
    <row r="6" spans="2:16" ht="12.75" customHeight="1">
      <c r="B6" s="36"/>
      <c r="C6" s="146" t="s">
        <v>79</v>
      </c>
      <c r="D6" s="36"/>
      <c r="E6" s="36"/>
      <c r="F6" s="146" t="s">
        <v>80</v>
      </c>
      <c r="G6" s="36"/>
      <c r="H6" s="36"/>
      <c r="I6" s="146" t="s">
        <v>356</v>
      </c>
      <c r="J6" s="36"/>
      <c r="K6" s="36"/>
      <c r="L6" s="146" t="s">
        <v>83</v>
      </c>
      <c r="M6" s="36"/>
      <c r="N6" s="36"/>
      <c r="O6" s="146" t="s">
        <v>81</v>
      </c>
      <c r="P6" s="36"/>
    </row>
    <row r="7" spans="2:16" ht="12.75" customHeight="1">
      <c r="B7" s="36"/>
      <c r="C7" s="36"/>
      <c r="D7" s="146" t="s">
        <v>77</v>
      </c>
      <c r="E7" s="36"/>
      <c r="F7" s="36"/>
      <c r="G7" s="146" t="s">
        <v>357</v>
      </c>
      <c r="H7" s="36"/>
      <c r="I7" s="36"/>
      <c r="J7" s="146" t="s">
        <v>89</v>
      </c>
      <c r="K7" s="36"/>
      <c r="L7" s="36"/>
      <c r="M7" s="146" t="s">
        <v>82</v>
      </c>
      <c r="N7" s="36"/>
      <c r="O7" s="36"/>
      <c r="P7" s="36"/>
    </row>
    <row r="8" spans="2:16" ht="12.75" customHeight="1">
      <c r="B8" s="150"/>
      <c r="C8" s="36"/>
      <c r="D8" s="36"/>
      <c r="E8" s="146" t="s">
        <v>78</v>
      </c>
      <c r="F8" s="36"/>
      <c r="G8" s="36"/>
      <c r="H8" s="146" t="s">
        <v>358</v>
      </c>
      <c r="I8" s="36"/>
      <c r="J8" s="36"/>
      <c r="K8" s="146" t="s">
        <v>90</v>
      </c>
      <c r="L8" s="36"/>
      <c r="M8" s="36"/>
      <c r="N8" s="146" t="s">
        <v>91</v>
      </c>
      <c r="O8" s="36"/>
      <c r="P8" s="146" t="s">
        <v>359</v>
      </c>
    </row>
    <row r="9" spans="2:16" ht="12.75" customHeight="1">
      <c r="B9" s="151" t="s">
        <v>44</v>
      </c>
      <c r="C9" s="152" t="s">
        <v>18</v>
      </c>
      <c r="D9" s="179" t="s">
        <v>93</v>
      </c>
      <c r="E9" s="179" t="s">
        <v>94</v>
      </c>
      <c r="F9" s="179" t="s">
        <v>21</v>
      </c>
      <c r="G9" s="179" t="s">
        <v>186</v>
      </c>
      <c r="H9" s="179" t="s">
        <v>182</v>
      </c>
      <c r="I9" s="179" t="s">
        <v>183</v>
      </c>
      <c r="J9" s="179" t="s">
        <v>23</v>
      </c>
      <c r="K9" s="179" t="s">
        <v>22</v>
      </c>
      <c r="L9" s="179" t="s">
        <v>24</v>
      </c>
      <c r="M9" s="179" t="s">
        <v>360</v>
      </c>
      <c r="N9" s="179" t="s">
        <v>58</v>
      </c>
      <c r="O9" s="179" t="s">
        <v>95</v>
      </c>
      <c r="P9" s="179" t="s">
        <v>361</v>
      </c>
    </row>
    <row r="10" spans="2:16" ht="12.75" customHeight="1" thickBot="1">
      <c r="B10" s="153" t="s">
        <v>213</v>
      </c>
      <c r="C10" s="154" t="s">
        <v>214</v>
      </c>
      <c r="D10" s="154" t="s">
        <v>214</v>
      </c>
      <c r="E10" s="154" t="s">
        <v>214</v>
      </c>
      <c r="F10" s="154" t="s">
        <v>214</v>
      </c>
      <c r="G10" s="154" t="s">
        <v>214</v>
      </c>
      <c r="H10" s="154" t="s">
        <v>214</v>
      </c>
      <c r="I10" s="154" t="s">
        <v>214</v>
      </c>
      <c r="J10" s="154" t="s">
        <v>214</v>
      </c>
      <c r="K10" s="154" t="s">
        <v>214</v>
      </c>
      <c r="L10" s="154" t="s">
        <v>214</v>
      </c>
      <c r="M10" s="154" t="s">
        <v>214</v>
      </c>
      <c r="N10" s="154" t="s">
        <v>214</v>
      </c>
      <c r="O10" s="154" t="s">
        <v>214</v>
      </c>
      <c r="P10" s="154" t="s">
        <v>214</v>
      </c>
    </row>
    <row r="11" spans="2:16" ht="12.75" customHeight="1">
      <c r="B11" s="155" t="s">
        <v>362</v>
      </c>
      <c r="C11" s="156">
        <v>94.6</v>
      </c>
      <c r="D11" s="156">
        <v>79.28</v>
      </c>
      <c r="E11" s="156">
        <v>74</v>
      </c>
      <c r="F11" s="156">
        <v>56.95</v>
      </c>
      <c r="G11" s="156">
        <v>0</v>
      </c>
      <c r="H11" s="156">
        <v>0</v>
      </c>
      <c r="I11" s="156">
        <v>0</v>
      </c>
      <c r="J11" s="156">
        <v>0</v>
      </c>
      <c r="K11" s="156">
        <v>37</v>
      </c>
      <c r="L11" s="156">
        <v>0</v>
      </c>
      <c r="M11" s="156">
        <v>0</v>
      </c>
      <c r="N11" s="156">
        <v>0</v>
      </c>
      <c r="O11" s="156">
        <v>0</v>
      </c>
      <c r="P11" s="156">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B833B-4A5D-46F8-BBF4-D30B855BE543}">
  <sheetPr>
    <tabColor rgb="FF0070C0"/>
  </sheetPr>
  <dimension ref="B3:AM197"/>
  <sheetViews>
    <sheetView workbookViewId="0">
      <selection activeCell="G37" sqref="G37"/>
    </sheetView>
  </sheetViews>
  <sheetFormatPr defaultColWidth="8.88671875" defaultRowHeight="14.4"/>
  <cols>
    <col min="1" max="16384" width="8.88671875" style="91"/>
  </cols>
  <sheetData>
    <row r="3" spans="2:39">
      <c r="H3" s="384" t="s">
        <v>975</v>
      </c>
      <c r="I3" s="385" t="s">
        <v>976</v>
      </c>
      <c r="J3" s="385" t="s">
        <v>977</v>
      </c>
      <c r="K3" s="384" t="s">
        <v>978</v>
      </c>
      <c r="L3" s="384" t="s">
        <v>979</v>
      </c>
      <c r="M3" s="385" t="s">
        <v>980</v>
      </c>
      <c r="N3" s="385" t="s">
        <v>981</v>
      </c>
      <c r="O3" s="384" t="s">
        <v>982</v>
      </c>
      <c r="P3" s="384" t="s">
        <v>983</v>
      </c>
      <c r="Q3" s="385" t="s">
        <v>984</v>
      </c>
      <c r="R3" s="385" t="s">
        <v>985</v>
      </c>
      <c r="S3" s="384" t="s">
        <v>986</v>
      </c>
      <c r="T3" s="384" t="s">
        <v>987</v>
      </c>
      <c r="U3" s="385" t="s">
        <v>988</v>
      </c>
      <c r="V3" s="385" t="s">
        <v>989</v>
      </c>
      <c r="W3" s="384" t="s">
        <v>990</v>
      </c>
      <c r="X3" s="384" t="s">
        <v>991</v>
      </c>
      <c r="Y3" s="385" t="s">
        <v>992</v>
      </c>
      <c r="Z3" s="385" t="s">
        <v>993</v>
      </c>
      <c r="AA3" s="384" t="s">
        <v>994</v>
      </c>
      <c r="AB3" s="384" t="s">
        <v>995</v>
      </c>
      <c r="AC3" s="385" t="s">
        <v>996</v>
      </c>
      <c r="AD3" s="385" t="s">
        <v>997</v>
      </c>
      <c r="AE3" s="384" t="s">
        <v>998</v>
      </c>
      <c r="AF3" s="384" t="s">
        <v>999</v>
      </c>
      <c r="AG3" s="385" t="s">
        <v>1000</v>
      </c>
      <c r="AH3" s="385" t="s">
        <v>1001</v>
      </c>
      <c r="AI3" s="384" t="s">
        <v>1002</v>
      </c>
      <c r="AJ3" s="384" t="s">
        <v>1003</v>
      </c>
      <c r="AK3" s="385" t="s">
        <v>1004</v>
      </c>
      <c r="AL3" s="385" t="s">
        <v>1005</v>
      </c>
      <c r="AM3" s="384" t="s">
        <v>1006</v>
      </c>
    </row>
    <row r="4" spans="2:39">
      <c r="B4" s="91" t="s">
        <v>1007</v>
      </c>
      <c r="H4" s="386"/>
      <c r="I4" s="387"/>
      <c r="J4" s="387"/>
      <c r="K4" s="386"/>
      <c r="L4" s="386"/>
      <c r="M4" s="387"/>
      <c r="N4" s="387"/>
      <c r="O4" s="386"/>
      <c r="P4" s="386"/>
      <c r="Q4" s="387"/>
      <c r="R4" s="387"/>
      <c r="S4" s="386"/>
      <c r="T4" s="386"/>
      <c r="U4" s="387"/>
      <c r="V4" s="387"/>
      <c r="W4" s="386"/>
      <c r="X4" s="386"/>
      <c r="Y4" s="387"/>
      <c r="Z4" s="387"/>
      <c r="AA4" s="386"/>
      <c r="AB4" s="386"/>
      <c r="AC4" s="387"/>
      <c r="AD4" s="387"/>
      <c r="AE4" s="386"/>
      <c r="AF4" s="386"/>
      <c r="AG4" s="387"/>
      <c r="AH4" s="387"/>
      <c r="AI4" s="386"/>
      <c r="AJ4" s="386"/>
      <c r="AK4" s="387"/>
      <c r="AL4" s="387"/>
      <c r="AM4" s="386"/>
    </row>
    <row r="5" spans="2:39">
      <c r="B5" s="91" t="s">
        <v>1008</v>
      </c>
      <c r="G5" s="91" t="s">
        <v>1009</v>
      </c>
      <c r="H5" s="386">
        <v>7.3059360730593605E-3</v>
      </c>
      <c r="I5" s="387">
        <v>1.8378995433789954E-2</v>
      </c>
      <c r="J5" s="387">
        <v>9.0753424657534248E-2</v>
      </c>
      <c r="K5" s="386">
        <v>6.1643835616438353E-2</v>
      </c>
      <c r="L5" s="386">
        <v>2.1689497716894978E-3</v>
      </c>
      <c r="M5" s="387">
        <v>1.1415525114155251E-3</v>
      </c>
      <c r="N5" s="387">
        <v>3.8127853881278539E-2</v>
      </c>
      <c r="O5" s="386">
        <v>2.9794520547945205E-2</v>
      </c>
      <c r="P5" s="386">
        <v>9.1324200913242006E-4</v>
      </c>
      <c r="Q5" s="387">
        <v>4.5662100456621003E-4</v>
      </c>
      <c r="R5" s="387">
        <v>3.276255707762557E-2</v>
      </c>
      <c r="S5" s="386">
        <v>4.8059360730593609E-2</v>
      </c>
      <c r="T5" s="386">
        <v>4.10958904109589E-3</v>
      </c>
      <c r="U5" s="387">
        <v>1.8378995433789954E-2</v>
      </c>
      <c r="V5" s="387">
        <v>6.6552511415525109E-2</v>
      </c>
      <c r="W5" s="386">
        <v>8.0821917808219179E-2</v>
      </c>
      <c r="X5" s="386">
        <v>1.1415525114155251E-4</v>
      </c>
      <c r="Y5" s="387">
        <v>1.1415525114155251E-3</v>
      </c>
      <c r="Z5" s="387">
        <v>2.6712328767123289E-2</v>
      </c>
      <c r="AA5" s="386">
        <v>5.1484018264840184E-2</v>
      </c>
      <c r="AB5" s="386">
        <v>1.9406392694063927E-3</v>
      </c>
      <c r="AC5" s="387">
        <v>3.9611872146118721E-2</v>
      </c>
      <c r="AD5" s="387">
        <v>5.422374429223744E-2</v>
      </c>
      <c r="AE5" s="386">
        <v>7.6826484018264835E-2</v>
      </c>
      <c r="AF5" s="386">
        <v>1.0730593607305937E-2</v>
      </c>
      <c r="AG5" s="387">
        <v>1.1415525114155251E-4</v>
      </c>
      <c r="AH5" s="387">
        <v>5.182648401826484E-2</v>
      </c>
      <c r="AI5" s="386">
        <v>2.7739726027397261E-2</v>
      </c>
      <c r="AJ5" s="386">
        <v>9.3607305936073051E-3</v>
      </c>
      <c r="AK5" s="387">
        <v>1.4383561643835616E-2</v>
      </c>
      <c r="AL5" s="388">
        <v>8.995433789954338E-2</v>
      </c>
      <c r="AM5" s="386">
        <v>4.2465753424657533E-2</v>
      </c>
    </row>
    <row r="6" spans="2:39">
      <c r="B6" s="91" t="s">
        <v>1010</v>
      </c>
    </row>
    <row r="7" spans="2:39">
      <c r="B7" s="91" t="s">
        <v>1011</v>
      </c>
      <c r="C7" s="91" t="s">
        <v>463</v>
      </c>
      <c r="D7" s="91" t="s">
        <v>1012</v>
      </c>
      <c r="E7" s="91" t="s">
        <v>1013</v>
      </c>
      <c r="F7" s="91" t="s">
        <v>1014</v>
      </c>
      <c r="G7" s="91" t="s">
        <v>1015</v>
      </c>
      <c r="H7" s="91" t="s">
        <v>979</v>
      </c>
      <c r="I7" s="91" t="s">
        <v>980</v>
      </c>
      <c r="J7" s="91" t="s">
        <v>981</v>
      </c>
      <c r="K7" s="91" t="s">
        <v>982</v>
      </c>
      <c r="L7" s="91" t="s">
        <v>975</v>
      </c>
      <c r="M7" s="91" t="s">
        <v>976</v>
      </c>
      <c r="N7" s="91" t="s">
        <v>977</v>
      </c>
      <c r="O7" s="91" t="s">
        <v>978</v>
      </c>
      <c r="P7" s="91" t="s">
        <v>983</v>
      </c>
      <c r="Q7" s="91" t="s">
        <v>984</v>
      </c>
      <c r="R7" s="91" t="s">
        <v>985</v>
      </c>
      <c r="S7" s="91" t="s">
        <v>986</v>
      </c>
      <c r="T7" s="91" t="s">
        <v>987</v>
      </c>
      <c r="U7" s="91" t="s">
        <v>988</v>
      </c>
      <c r="V7" s="91" t="s">
        <v>989</v>
      </c>
      <c r="W7" s="91" t="s">
        <v>990</v>
      </c>
      <c r="X7" s="91" t="s">
        <v>991</v>
      </c>
      <c r="Y7" s="91" t="s">
        <v>992</v>
      </c>
      <c r="Z7" s="91" t="s">
        <v>993</v>
      </c>
      <c r="AA7" s="91" t="s">
        <v>994</v>
      </c>
      <c r="AB7" s="91" t="s">
        <v>995</v>
      </c>
      <c r="AC7" s="91" t="s">
        <v>996</v>
      </c>
      <c r="AD7" s="91" t="s">
        <v>997</v>
      </c>
      <c r="AE7" s="91" t="s">
        <v>998</v>
      </c>
      <c r="AF7" s="91" t="s">
        <v>999</v>
      </c>
      <c r="AG7" s="91" t="s">
        <v>1000</v>
      </c>
      <c r="AH7" s="91" t="s">
        <v>1001</v>
      </c>
      <c r="AI7" s="91" t="s">
        <v>1002</v>
      </c>
      <c r="AJ7" s="91" t="s">
        <v>1003</v>
      </c>
      <c r="AK7" s="91" t="s">
        <v>1004</v>
      </c>
      <c r="AL7" s="91" t="s">
        <v>1005</v>
      </c>
      <c r="AM7" s="91" t="s">
        <v>1006</v>
      </c>
    </row>
    <row r="8" spans="2:39">
      <c r="B8" s="91" t="s">
        <v>1016</v>
      </c>
      <c r="C8" s="91" t="s">
        <v>1009</v>
      </c>
      <c r="D8" s="91" t="s">
        <v>23</v>
      </c>
      <c r="E8" s="91" t="s">
        <v>244</v>
      </c>
      <c r="F8" s="91" t="s">
        <v>1017</v>
      </c>
      <c r="G8" s="91">
        <f>(G71+G134)/2</f>
        <v>75.693760604347702</v>
      </c>
    </row>
    <row r="9" spans="2:39">
      <c r="B9" s="91" t="s">
        <v>1016</v>
      </c>
      <c r="C9" s="91" t="s">
        <v>1009</v>
      </c>
      <c r="D9" s="91" t="s">
        <v>23</v>
      </c>
      <c r="E9" s="91" t="s">
        <v>244</v>
      </c>
      <c r="F9" s="91" t="s">
        <v>1018</v>
      </c>
      <c r="G9" s="91">
        <f t="shared" ref="G9:G70" si="0">(G72+G135)/2</f>
        <v>78.382275231588395</v>
      </c>
    </row>
    <row r="10" spans="2:39">
      <c r="B10" s="91" t="s">
        <v>1016</v>
      </c>
      <c r="C10" s="91" t="s">
        <v>1009</v>
      </c>
      <c r="D10" s="91" t="s">
        <v>23</v>
      </c>
      <c r="E10" s="91" t="s">
        <v>244</v>
      </c>
      <c r="F10" s="91" t="s">
        <v>1019</v>
      </c>
      <c r="G10" s="91">
        <f t="shared" si="0"/>
        <v>82.003735248225297</v>
      </c>
    </row>
    <row r="11" spans="2:39">
      <c r="B11" s="91" t="s">
        <v>1016</v>
      </c>
      <c r="C11" s="91" t="s">
        <v>1009</v>
      </c>
      <c r="D11" s="91" t="s">
        <v>23</v>
      </c>
      <c r="E11" s="91" t="s">
        <v>244</v>
      </c>
      <c r="F11" s="91" t="s">
        <v>1020</v>
      </c>
      <c r="G11" s="91">
        <f t="shared" si="0"/>
        <v>84.679397843076202</v>
      </c>
    </row>
    <row r="12" spans="2:39">
      <c r="B12" s="91" t="s">
        <v>1016</v>
      </c>
      <c r="C12" s="91" t="s">
        <v>1009</v>
      </c>
      <c r="D12" s="91" t="s">
        <v>23</v>
      </c>
      <c r="E12" s="91" t="s">
        <v>244</v>
      </c>
      <c r="F12" s="91" t="s">
        <v>1021</v>
      </c>
      <c r="G12" s="91">
        <f t="shared" si="0"/>
        <v>87.069584239818894</v>
      </c>
    </row>
    <row r="13" spans="2:39">
      <c r="B13" s="91" t="s">
        <v>1016</v>
      </c>
      <c r="C13" s="91" t="s">
        <v>1009</v>
      </c>
      <c r="D13" s="91" t="s">
        <v>23</v>
      </c>
      <c r="E13" s="91" t="s">
        <v>244</v>
      </c>
      <c r="F13" s="91" t="s">
        <v>1022</v>
      </c>
      <c r="G13" s="91">
        <f t="shared" si="0"/>
        <v>89.361437078691594</v>
      </c>
    </row>
    <row r="14" spans="2:39">
      <c r="B14" s="91" t="s">
        <v>1016</v>
      </c>
      <c r="C14" s="91" t="s">
        <v>1009</v>
      </c>
      <c r="D14" s="91" t="s">
        <v>23</v>
      </c>
      <c r="E14" s="91" t="s">
        <v>244</v>
      </c>
      <c r="F14" s="91" t="s">
        <v>1023</v>
      </c>
      <c r="G14" s="91">
        <f t="shared" si="0"/>
        <v>91.832702198127606</v>
      </c>
    </row>
    <row r="15" spans="2:39">
      <c r="B15" s="91" t="s">
        <v>1016</v>
      </c>
      <c r="C15" s="91" t="s">
        <v>1009</v>
      </c>
      <c r="D15" s="91" t="s">
        <v>23</v>
      </c>
      <c r="E15" s="91" t="s">
        <v>244</v>
      </c>
      <c r="F15" s="91" t="s">
        <v>1024</v>
      </c>
      <c r="G15" s="91">
        <f t="shared" si="0"/>
        <v>96.096611412369896</v>
      </c>
    </row>
    <row r="16" spans="2:39">
      <c r="B16" s="91" t="s">
        <v>1016</v>
      </c>
      <c r="C16" s="91" t="s">
        <v>1009</v>
      </c>
      <c r="D16" s="91" t="s">
        <v>183</v>
      </c>
      <c r="E16" s="91" t="s">
        <v>244</v>
      </c>
      <c r="F16" s="91" t="s">
        <v>1017</v>
      </c>
      <c r="G16" s="91">
        <f t="shared" si="0"/>
        <v>74.916391548744102</v>
      </c>
    </row>
    <row r="17" spans="2:7">
      <c r="B17" s="91" t="s">
        <v>1016</v>
      </c>
      <c r="C17" s="91" t="s">
        <v>1009</v>
      </c>
      <c r="D17" s="91" t="s">
        <v>183</v>
      </c>
      <c r="E17" s="91" t="s">
        <v>244</v>
      </c>
      <c r="F17" s="91" t="s">
        <v>1018</v>
      </c>
      <c r="G17" s="91">
        <f t="shared" si="0"/>
        <v>64.228919291552103</v>
      </c>
    </row>
    <row r="18" spans="2:7">
      <c r="B18" s="91" t="s">
        <v>1016</v>
      </c>
      <c r="C18" s="91" t="s">
        <v>1009</v>
      </c>
      <c r="D18" s="91" t="s">
        <v>183</v>
      </c>
      <c r="E18" s="91" t="s">
        <v>244</v>
      </c>
      <c r="F18" s="91" t="s">
        <v>1019</v>
      </c>
      <c r="G18" s="91">
        <f t="shared" si="0"/>
        <v>49.943957566002901</v>
      </c>
    </row>
    <row r="19" spans="2:7">
      <c r="B19" s="91" t="s">
        <v>1016</v>
      </c>
      <c r="C19" s="91" t="s">
        <v>1009</v>
      </c>
      <c r="D19" s="91" t="s">
        <v>183</v>
      </c>
      <c r="E19" s="91" t="s">
        <v>244</v>
      </c>
      <c r="F19" s="91" t="s">
        <v>1020</v>
      </c>
      <c r="G19" s="91">
        <f t="shared" si="0"/>
        <v>98.088164793674096</v>
      </c>
    </row>
    <row r="20" spans="2:7">
      <c r="B20" s="91" t="s">
        <v>1016</v>
      </c>
      <c r="C20" s="91" t="s">
        <v>1009</v>
      </c>
      <c r="D20" s="91" t="s">
        <v>183</v>
      </c>
      <c r="E20" s="91" t="s">
        <v>244</v>
      </c>
      <c r="F20" s="91" t="s">
        <v>1021</v>
      </c>
      <c r="G20" s="91">
        <f t="shared" si="0"/>
        <v>101.494231906634</v>
      </c>
    </row>
    <row r="21" spans="2:7">
      <c r="B21" s="91" t="s">
        <v>1016</v>
      </c>
      <c r="C21" s="91" t="s">
        <v>1009</v>
      </c>
      <c r="D21" s="91" t="s">
        <v>183</v>
      </c>
      <c r="E21" s="91" t="s">
        <v>244</v>
      </c>
      <c r="F21" s="91" t="s">
        <v>1022</v>
      </c>
      <c r="G21" s="91">
        <f t="shared" si="0"/>
        <v>75.538483463380203</v>
      </c>
    </row>
    <row r="22" spans="2:7">
      <c r="B22" s="91" t="s">
        <v>1016</v>
      </c>
      <c r="C22" s="91" t="s">
        <v>1009</v>
      </c>
      <c r="D22" s="91" t="s">
        <v>183</v>
      </c>
      <c r="E22" s="91" t="s">
        <v>244</v>
      </c>
      <c r="F22" s="91" t="s">
        <v>1023</v>
      </c>
      <c r="G22" s="91">
        <f t="shared" si="0"/>
        <v>90.78054552871545</v>
      </c>
    </row>
    <row r="23" spans="2:7">
      <c r="B23" s="91" t="s">
        <v>1016</v>
      </c>
      <c r="C23" s="91" t="s">
        <v>1009</v>
      </c>
      <c r="D23" s="91" t="s">
        <v>183</v>
      </c>
      <c r="E23" s="91" t="s">
        <v>244</v>
      </c>
      <c r="F23" s="91" t="s">
        <v>1024</v>
      </c>
      <c r="G23" s="91">
        <f t="shared" si="0"/>
        <v>100.37087585173941</v>
      </c>
    </row>
    <row r="24" spans="2:7">
      <c r="B24" s="91" t="s">
        <v>1016</v>
      </c>
      <c r="C24" s="91" t="s">
        <v>1009</v>
      </c>
      <c r="D24" s="91" t="s">
        <v>22</v>
      </c>
      <c r="E24" s="91" t="s">
        <v>244</v>
      </c>
      <c r="F24" s="91" t="s">
        <v>1017</v>
      </c>
      <c r="G24" s="91">
        <f t="shared" si="0"/>
        <v>46.802512515422102</v>
      </c>
    </row>
    <row r="25" spans="2:7">
      <c r="B25" s="91" t="s">
        <v>1016</v>
      </c>
      <c r="C25" s="91" t="s">
        <v>1009</v>
      </c>
      <c r="D25" s="91" t="s">
        <v>22</v>
      </c>
      <c r="E25" s="91" t="s">
        <v>244</v>
      </c>
      <c r="F25" s="91" t="s">
        <v>1018</v>
      </c>
      <c r="G25" s="91">
        <f t="shared" si="0"/>
        <v>28.4563369499521</v>
      </c>
    </row>
    <row r="26" spans="2:7">
      <c r="B26" s="91" t="s">
        <v>1016</v>
      </c>
      <c r="C26" s="91" t="s">
        <v>1009</v>
      </c>
      <c r="D26" s="91" t="s">
        <v>22</v>
      </c>
      <c r="E26" s="91" t="s">
        <v>244</v>
      </c>
      <c r="F26" s="91" t="s">
        <v>1019</v>
      </c>
      <c r="G26" s="91">
        <f t="shared" si="0"/>
        <v>37.507360084808198</v>
      </c>
    </row>
    <row r="27" spans="2:7">
      <c r="B27" s="91" t="s">
        <v>1016</v>
      </c>
      <c r="C27" s="91" t="s">
        <v>1009</v>
      </c>
      <c r="D27" s="91" t="s">
        <v>22</v>
      </c>
      <c r="E27" s="91" t="s">
        <v>244</v>
      </c>
      <c r="F27" s="91" t="s">
        <v>1020</v>
      </c>
      <c r="G27" s="91">
        <f t="shared" si="0"/>
        <v>0.53436866609558298</v>
      </c>
    </row>
    <row r="28" spans="2:7">
      <c r="B28" s="91" t="s">
        <v>1016</v>
      </c>
      <c r="C28" s="91" t="s">
        <v>1009</v>
      </c>
      <c r="D28" s="91" t="s">
        <v>22</v>
      </c>
      <c r="E28" s="91" t="s">
        <v>244</v>
      </c>
      <c r="F28" s="91" t="s">
        <v>1021</v>
      </c>
      <c r="G28" s="91">
        <f t="shared" si="0"/>
        <v>-7.2297810195879899</v>
      </c>
    </row>
    <row r="29" spans="2:7">
      <c r="B29" s="91" t="s">
        <v>1016</v>
      </c>
      <c r="C29" s="91" t="s">
        <v>1009</v>
      </c>
      <c r="D29" s="91" t="s">
        <v>22</v>
      </c>
      <c r="E29" s="91" t="s">
        <v>244</v>
      </c>
      <c r="F29" s="91" t="s">
        <v>1022</v>
      </c>
      <c r="G29" s="91">
        <f t="shared" si="0"/>
        <v>-46.507872233251</v>
      </c>
    </row>
    <row r="30" spans="2:7">
      <c r="B30" s="91" t="s">
        <v>1016</v>
      </c>
      <c r="C30" s="91" t="s">
        <v>1009</v>
      </c>
      <c r="D30" s="91" t="s">
        <v>22</v>
      </c>
      <c r="E30" s="91" t="s">
        <v>244</v>
      </c>
      <c r="F30" s="91" t="s">
        <v>1023</v>
      </c>
      <c r="G30" s="91">
        <f t="shared" si="0"/>
        <v>16.181940775506401</v>
      </c>
    </row>
    <row r="31" spans="2:7">
      <c r="B31" s="91" t="s">
        <v>1016</v>
      </c>
      <c r="C31" s="91" t="s">
        <v>1009</v>
      </c>
      <c r="D31" s="91" t="s">
        <v>22</v>
      </c>
      <c r="E31" s="91" t="s">
        <v>244</v>
      </c>
      <c r="F31" s="91" t="s">
        <v>1024</v>
      </c>
      <c r="G31" s="91">
        <f t="shared" si="0"/>
        <v>-7.1215375466131796</v>
      </c>
    </row>
    <row r="32" spans="2:7">
      <c r="B32" s="91" t="s">
        <v>1016</v>
      </c>
      <c r="C32" s="91" t="s">
        <v>1009</v>
      </c>
      <c r="D32" s="91" t="s">
        <v>601</v>
      </c>
      <c r="E32" s="91" t="s">
        <v>244</v>
      </c>
      <c r="F32" s="91" t="s">
        <v>1017</v>
      </c>
      <c r="G32" s="91">
        <f t="shared" si="0"/>
        <v>77.563617930707096</v>
      </c>
    </row>
    <row r="33" spans="2:7">
      <c r="B33" s="91" t="s">
        <v>1016</v>
      </c>
      <c r="C33" s="91" t="s">
        <v>1009</v>
      </c>
      <c r="D33" s="91" t="s">
        <v>601</v>
      </c>
      <c r="E33" s="91" t="s">
        <v>244</v>
      </c>
      <c r="F33" s="91" t="s">
        <v>1018</v>
      </c>
      <c r="G33" s="91">
        <f t="shared" si="0"/>
        <v>52.241908895167256</v>
      </c>
    </row>
    <row r="34" spans="2:7">
      <c r="B34" s="91" t="s">
        <v>1016</v>
      </c>
      <c r="C34" s="91" t="s">
        <v>1009</v>
      </c>
      <c r="D34" s="91" t="s">
        <v>601</v>
      </c>
      <c r="E34" s="91" t="s">
        <v>244</v>
      </c>
      <c r="F34" s="91" t="s">
        <v>1019</v>
      </c>
      <c r="G34" s="91">
        <f t="shared" si="0"/>
        <v>32.028314773535648</v>
      </c>
    </row>
    <row r="35" spans="2:7">
      <c r="B35" s="91" t="s">
        <v>1016</v>
      </c>
      <c r="C35" s="91" t="s">
        <v>1009</v>
      </c>
      <c r="D35" s="91" t="s">
        <v>601</v>
      </c>
      <c r="E35" s="91" t="s">
        <v>244</v>
      </c>
      <c r="F35" s="91" t="s">
        <v>1020</v>
      </c>
      <c r="G35" s="91">
        <f t="shared" si="0"/>
        <v>43.622207164455787</v>
      </c>
    </row>
    <row r="36" spans="2:7">
      <c r="B36" s="91" t="s">
        <v>1016</v>
      </c>
      <c r="C36" s="91" t="s">
        <v>1009</v>
      </c>
      <c r="D36" s="91" t="s">
        <v>601</v>
      </c>
      <c r="E36" s="91" t="s">
        <v>244</v>
      </c>
      <c r="F36" s="91" t="s">
        <v>1021</v>
      </c>
      <c r="G36" s="91">
        <f t="shared" si="0"/>
        <v>37.18160661510349</v>
      </c>
    </row>
    <row r="37" spans="2:7">
      <c r="B37" s="91" t="s">
        <v>1016</v>
      </c>
      <c r="C37" s="91" t="s">
        <v>1009</v>
      </c>
      <c r="D37" s="91" t="s">
        <v>601</v>
      </c>
      <c r="E37" s="91" t="s">
        <v>244</v>
      </c>
      <c r="F37" s="91" t="s">
        <v>1023</v>
      </c>
      <c r="G37" s="91">
        <f t="shared" si="0"/>
        <v>14.382291076672555</v>
      </c>
    </row>
    <row r="38" spans="2:7">
      <c r="B38" s="91" t="s">
        <v>1016</v>
      </c>
      <c r="C38" s="91" t="s">
        <v>1009</v>
      </c>
      <c r="D38" s="91" t="s">
        <v>601</v>
      </c>
      <c r="E38" s="91" t="s">
        <v>244</v>
      </c>
      <c r="F38" s="91" t="s">
        <v>1024</v>
      </c>
      <c r="G38" s="91">
        <f t="shared" si="0"/>
        <v>31.66441373599169</v>
      </c>
    </row>
    <row r="39" spans="2:7">
      <c r="B39" s="91" t="s">
        <v>1016</v>
      </c>
      <c r="C39" s="91" t="s">
        <v>1009</v>
      </c>
      <c r="D39" s="91" t="s">
        <v>217</v>
      </c>
      <c r="E39" s="91" t="s">
        <v>244</v>
      </c>
      <c r="F39" s="91" t="s">
        <v>1017</v>
      </c>
      <c r="G39" s="91">
        <f t="shared" si="0"/>
        <v>35.233074802332354</v>
      </c>
    </row>
    <row r="40" spans="2:7">
      <c r="B40" s="91" t="s">
        <v>1016</v>
      </c>
      <c r="C40" s="91" t="s">
        <v>1009</v>
      </c>
      <c r="D40" s="91" t="s">
        <v>217</v>
      </c>
      <c r="E40" s="91" t="s">
        <v>244</v>
      </c>
      <c r="F40" s="91" t="s">
        <v>1018</v>
      </c>
      <c r="G40" s="91">
        <f t="shared" si="0"/>
        <v>24.345798197316</v>
      </c>
    </row>
    <row r="41" spans="2:7">
      <c r="B41" s="91" t="s">
        <v>1016</v>
      </c>
      <c r="C41" s="91" t="s">
        <v>1009</v>
      </c>
      <c r="D41" s="91" t="s">
        <v>217</v>
      </c>
      <c r="E41" s="91" t="s">
        <v>244</v>
      </c>
      <c r="F41" s="91" t="s">
        <v>1019</v>
      </c>
      <c r="G41" s="91">
        <f t="shared" si="0"/>
        <v>27.18052440990175</v>
      </c>
    </row>
    <row r="42" spans="2:7">
      <c r="B42" s="91" t="s">
        <v>1016</v>
      </c>
      <c r="C42" s="91" t="s">
        <v>1009</v>
      </c>
      <c r="D42" s="91" t="s">
        <v>217</v>
      </c>
      <c r="E42" s="91" t="s">
        <v>244</v>
      </c>
      <c r="F42" s="91" t="s">
        <v>1020</v>
      </c>
      <c r="G42" s="91">
        <f t="shared" si="0"/>
        <v>39.702314645360453</v>
      </c>
    </row>
    <row r="43" spans="2:7">
      <c r="B43" s="91" t="s">
        <v>1016</v>
      </c>
      <c r="C43" s="91" t="s">
        <v>1009</v>
      </c>
      <c r="D43" s="91" t="s">
        <v>217</v>
      </c>
      <c r="E43" s="91" t="s">
        <v>244</v>
      </c>
      <c r="F43" s="91" t="s">
        <v>1021</v>
      </c>
      <c r="G43" s="91">
        <f t="shared" si="0"/>
        <v>41.165845589269949</v>
      </c>
    </row>
    <row r="44" spans="2:7">
      <c r="B44" s="91" t="s">
        <v>1016</v>
      </c>
      <c r="C44" s="91" t="s">
        <v>1009</v>
      </c>
      <c r="D44" s="91" t="s">
        <v>217</v>
      </c>
      <c r="E44" s="91" t="s">
        <v>244</v>
      </c>
      <c r="F44" s="91" t="s">
        <v>1022</v>
      </c>
      <c r="G44" s="91">
        <f t="shared" si="0"/>
        <v>41.405035507193801</v>
      </c>
    </row>
    <row r="45" spans="2:7">
      <c r="B45" s="91" t="s">
        <v>1016</v>
      </c>
      <c r="C45" s="91" t="s">
        <v>1009</v>
      </c>
      <c r="D45" s="91" t="s">
        <v>217</v>
      </c>
      <c r="E45" s="91" t="s">
        <v>244</v>
      </c>
      <c r="F45" s="91" t="s">
        <v>1023</v>
      </c>
      <c r="G45" s="91">
        <f t="shared" si="0"/>
        <v>22.935428284387651</v>
      </c>
    </row>
    <row r="46" spans="2:7">
      <c r="B46" s="91" t="s">
        <v>1016</v>
      </c>
      <c r="C46" s="91" t="s">
        <v>1009</v>
      </c>
      <c r="D46" s="91" t="s">
        <v>217</v>
      </c>
      <c r="E46" s="91" t="s">
        <v>244</v>
      </c>
      <c r="F46" s="91" t="s">
        <v>1024</v>
      </c>
      <c r="G46" s="91">
        <f t="shared" si="0"/>
        <v>33.601709360310352</v>
      </c>
    </row>
    <row r="47" spans="2:7">
      <c r="B47" s="91" t="s">
        <v>1016</v>
      </c>
      <c r="C47" s="91" t="s">
        <v>1009</v>
      </c>
      <c r="D47" s="91" t="s">
        <v>310</v>
      </c>
      <c r="E47" s="91" t="s">
        <v>244</v>
      </c>
      <c r="F47" s="91" t="s">
        <v>1017</v>
      </c>
      <c r="G47" s="91">
        <f t="shared" si="0"/>
        <v>97.309558379912971</v>
      </c>
    </row>
    <row r="48" spans="2:7">
      <c r="B48" s="91" t="s">
        <v>1016</v>
      </c>
      <c r="C48" s="91" t="s">
        <v>1009</v>
      </c>
      <c r="D48" s="91" t="s">
        <v>310</v>
      </c>
      <c r="E48" s="91" t="s">
        <v>244</v>
      </c>
      <c r="F48" s="91" t="s">
        <v>1018</v>
      </c>
      <c r="G48" s="91">
        <f t="shared" si="0"/>
        <v>149.74327597397536</v>
      </c>
    </row>
    <row r="49" spans="2:7">
      <c r="B49" s="91" t="s">
        <v>1016</v>
      </c>
      <c r="C49" s="91" t="s">
        <v>1009</v>
      </c>
      <c r="D49" s="91" t="s">
        <v>310</v>
      </c>
      <c r="E49" s="91" t="s">
        <v>244</v>
      </c>
      <c r="F49" s="91" t="s">
        <v>1019</v>
      </c>
      <c r="G49" s="91">
        <f t="shared" si="0"/>
        <v>150.56826071858185</v>
      </c>
    </row>
    <row r="50" spans="2:7">
      <c r="B50" s="91" t="s">
        <v>1016</v>
      </c>
      <c r="C50" s="91" t="s">
        <v>1009</v>
      </c>
      <c r="D50" s="91" t="s">
        <v>310</v>
      </c>
      <c r="E50" s="91" t="s">
        <v>244</v>
      </c>
      <c r="F50" s="91" t="s">
        <v>1020</v>
      </c>
      <c r="G50" s="91">
        <f t="shared" si="0"/>
        <v>162.09801996543507</v>
      </c>
    </row>
    <row r="51" spans="2:7">
      <c r="B51" s="91" t="s">
        <v>1016</v>
      </c>
      <c r="C51" s="91" t="s">
        <v>1009</v>
      </c>
      <c r="D51" s="91" t="s">
        <v>310</v>
      </c>
      <c r="E51" s="91" t="s">
        <v>244</v>
      </c>
      <c r="F51" s="91" t="s">
        <v>1021</v>
      </c>
      <c r="G51" s="91">
        <f t="shared" si="0"/>
        <v>148.8778775813297</v>
      </c>
    </row>
    <row r="52" spans="2:7">
      <c r="B52" s="91" t="s">
        <v>1016</v>
      </c>
      <c r="C52" s="91" t="s">
        <v>1009</v>
      </c>
      <c r="D52" s="91" t="s">
        <v>310</v>
      </c>
      <c r="E52" s="91" t="s">
        <v>244</v>
      </c>
      <c r="F52" s="91" t="s">
        <v>1022</v>
      </c>
      <c r="G52" s="91">
        <f t="shared" si="0"/>
        <v>135.16179875392197</v>
      </c>
    </row>
    <row r="53" spans="2:7">
      <c r="B53" s="91" t="s">
        <v>1016</v>
      </c>
      <c r="C53" s="91" t="s">
        <v>1009</v>
      </c>
      <c r="D53" s="91" t="s">
        <v>310</v>
      </c>
      <c r="E53" s="91" t="s">
        <v>244</v>
      </c>
      <c r="F53" s="91" t="s">
        <v>1023</v>
      </c>
      <c r="G53" s="91">
        <f t="shared" si="0"/>
        <v>135.62494136511313</v>
      </c>
    </row>
    <row r="54" spans="2:7">
      <c r="B54" s="91" t="s">
        <v>1016</v>
      </c>
      <c r="C54" s="91" t="s">
        <v>1009</v>
      </c>
      <c r="D54" s="91" t="s">
        <v>310</v>
      </c>
      <c r="E54" s="91" t="s">
        <v>244</v>
      </c>
      <c r="F54" s="91" t="s">
        <v>1024</v>
      </c>
      <c r="G54" s="91">
        <f t="shared" si="0"/>
        <v>129.59601206914476</v>
      </c>
    </row>
    <row r="55" spans="2:7">
      <c r="B55" s="91" t="s">
        <v>1016</v>
      </c>
      <c r="C55" s="91" t="s">
        <v>1009</v>
      </c>
      <c r="D55" s="91" t="s">
        <v>1025</v>
      </c>
      <c r="E55" s="91" t="s">
        <v>244</v>
      </c>
      <c r="F55" s="91" t="s">
        <v>1017</v>
      </c>
      <c r="G55" s="91">
        <f t="shared" si="0"/>
        <v>86.629913202652475</v>
      </c>
    </row>
    <row r="56" spans="2:7">
      <c r="B56" s="91" t="s">
        <v>1016</v>
      </c>
      <c r="C56" s="91" t="s">
        <v>1009</v>
      </c>
      <c r="D56" s="91" t="s">
        <v>1025</v>
      </c>
      <c r="E56" s="91" t="s">
        <v>244</v>
      </c>
      <c r="F56" s="91" t="s">
        <v>1018</v>
      </c>
      <c r="G56" s="91">
        <f t="shared" si="0"/>
        <v>61.303361044964447</v>
      </c>
    </row>
    <row r="57" spans="2:7">
      <c r="B57" s="91" t="s">
        <v>1016</v>
      </c>
      <c r="C57" s="91" t="s">
        <v>1009</v>
      </c>
      <c r="D57" s="91" t="s">
        <v>1025</v>
      </c>
      <c r="E57" s="91" t="s">
        <v>244</v>
      </c>
      <c r="F57" s="91" t="s">
        <v>1019</v>
      </c>
      <c r="G57" s="91">
        <f t="shared" si="0"/>
        <v>71.116690488278607</v>
      </c>
    </row>
    <row r="58" spans="2:7">
      <c r="B58" s="91" t="s">
        <v>1016</v>
      </c>
      <c r="C58" s="91" t="s">
        <v>1009</v>
      </c>
      <c r="D58" s="91" t="s">
        <v>1025</v>
      </c>
      <c r="E58" s="91" t="s">
        <v>244</v>
      </c>
      <c r="F58" s="91" t="s">
        <v>1020</v>
      </c>
      <c r="G58" s="91">
        <f t="shared" si="0"/>
        <v>88.496849674691404</v>
      </c>
    </row>
    <row r="59" spans="2:7">
      <c r="B59" s="91" t="s">
        <v>1016</v>
      </c>
      <c r="C59" s="91" t="s">
        <v>1009</v>
      </c>
      <c r="D59" s="91" t="s">
        <v>1025</v>
      </c>
      <c r="E59" s="91" t="s">
        <v>244</v>
      </c>
      <c r="F59" s="91" t="s">
        <v>1021</v>
      </c>
      <c r="G59" s="91">
        <f t="shared" si="0"/>
        <v>100.9847504384887</v>
      </c>
    </row>
    <row r="60" spans="2:7">
      <c r="B60" s="91" t="s">
        <v>1016</v>
      </c>
      <c r="C60" s="91" t="s">
        <v>1009</v>
      </c>
      <c r="D60" s="91" t="s">
        <v>1025</v>
      </c>
      <c r="E60" s="91" t="s">
        <v>244</v>
      </c>
      <c r="F60" s="91" t="s">
        <v>1022</v>
      </c>
      <c r="G60" s="91">
        <f t="shared" si="0"/>
        <v>111.626354116241</v>
      </c>
    </row>
    <row r="61" spans="2:7">
      <c r="B61" s="91" t="s">
        <v>1016</v>
      </c>
      <c r="C61" s="91" t="s">
        <v>1009</v>
      </c>
      <c r="D61" s="91" t="s">
        <v>1025</v>
      </c>
      <c r="E61" s="91" t="s">
        <v>244</v>
      </c>
      <c r="F61" s="91" t="s">
        <v>1023</v>
      </c>
      <c r="G61" s="91">
        <f t="shared" si="0"/>
        <v>120.72076571168</v>
      </c>
    </row>
    <row r="62" spans="2:7">
      <c r="B62" s="91" t="s">
        <v>1016</v>
      </c>
      <c r="C62" s="91" t="s">
        <v>1009</v>
      </c>
      <c r="D62" s="91" t="s">
        <v>1025</v>
      </c>
      <c r="E62" s="91" t="s">
        <v>244</v>
      </c>
      <c r="F62" s="91" t="s">
        <v>1024</v>
      </c>
      <c r="G62" s="91">
        <f t="shared" si="0"/>
        <v>126.447230077424</v>
      </c>
    </row>
    <row r="63" spans="2:7">
      <c r="B63" s="91" t="s">
        <v>1016</v>
      </c>
      <c r="C63" s="91" t="s">
        <v>1009</v>
      </c>
      <c r="D63" s="91" t="s">
        <v>311</v>
      </c>
      <c r="E63" s="91" t="s">
        <v>244</v>
      </c>
      <c r="F63" s="91" t="s">
        <v>1017</v>
      </c>
      <c r="G63" s="91">
        <f t="shared" si="0"/>
        <v>134.67229369649493</v>
      </c>
    </row>
    <row r="64" spans="2:7">
      <c r="B64" s="91" t="s">
        <v>1016</v>
      </c>
      <c r="C64" s="91" t="s">
        <v>1009</v>
      </c>
      <c r="D64" s="91" t="s">
        <v>311</v>
      </c>
      <c r="E64" s="91" t="s">
        <v>244</v>
      </c>
      <c r="F64" s="91" t="s">
        <v>1018</v>
      </c>
      <c r="G64" s="91">
        <f t="shared" si="0"/>
        <v>75.673864706579849</v>
      </c>
    </row>
    <row r="65" spans="2:7">
      <c r="B65" s="91" t="s">
        <v>1016</v>
      </c>
      <c r="C65" s="91" t="s">
        <v>1009</v>
      </c>
      <c r="D65" s="91" t="s">
        <v>311</v>
      </c>
      <c r="E65" s="91" t="s">
        <v>244</v>
      </c>
      <c r="F65" s="91" t="s">
        <v>1019</v>
      </c>
      <c r="G65" s="91">
        <f t="shared" si="0"/>
        <v>127.819885436286</v>
      </c>
    </row>
    <row r="66" spans="2:7">
      <c r="B66" s="91" t="s">
        <v>1016</v>
      </c>
      <c r="C66" s="91" t="s">
        <v>1009</v>
      </c>
      <c r="D66" s="91" t="s">
        <v>311</v>
      </c>
      <c r="E66" s="91" t="s">
        <v>244</v>
      </c>
      <c r="F66" s="91" t="s">
        <v>1020</v>
      </c>
      <c r="G66" s="91">
        <f t="shared" si="0"/>
        <v>137.69002568493377</v>
      </c>
    </row>
    <row r="67" spans="2:7">
      <c r="B67" s="91" t="s">
        <v>1016</v>
      </c>
      <c r="C67" s="91" t="s">
        <v>1009</v>
      </c>
      <c r="D67" s="91" t="s">
        <v>311</v>
      </c>
      <c r="E67" s="91" t="s">
        <v>244</v>
      </c>
      <c r="F67" s="91" t="s">
        <v>1021</v>
      </c>
      <c r="G67" s="91">
        <f t="shared" si="0"/>
        <v>124.65636550795051</v>
      </c>
    </row>
    <row r="68" spans="2:7">
      <c r="B68" s="91" t="s">
        <v>1016</v>
      </c>
      <c r="C68" s="91" t="s">
        <v>1009</v>
      </c>
      <c r="D68" s="91" t="s">
        <v>311</v>
      </c>
      <c r="E68" s="91" t="s">
        <v>244</v>
      </c>
      <c r="F68" s="91" t="s">
        <v>1022</v>
      </c>
      <c r="G68" s="91">
        <f t="shared" si="0"/>
        <v>111.06911460680993</v>
      </c>
    </row>
    <row r="69" spans="2:7">
      <c r="B69" s="91" t="s">
        <v>1016</v>
      </c>
      <c r="C69" s="91" t="s">
        <v>1009</v>
      </c>
      <c r="D69" s="91" t="s">
        <v>311</v>
      </c>
      <c r="E69" s="91" t="s">
        <v>244</v>
      </c>
      <c r="F69" s="91" t="s">
        <v>1023</v>
      </c>
      <c r="G69" s="91">
        <f t="shared" si="0"/>
        <v>111.2921368657008</v>
      </c>
    </row>
    <row r="70" spans="2:7" s="48" customFormat="1">
      <c r="B70" s="48" t="s">
        <v>1016</v>
      </c>
      <c r="C70" s="48" t="s">
        <v>1009</v>
      </c>
      <c r="D70" s="48" t="s">
        <v>311</v>
      </c>
      <c r="E70" s="48" t="s">
        <v>244</v>
      </c>
      <c r="F70" s="48" t="s">
        <v>1024</v>
      </c>
      <c r="G70" s="48">
        <f t="shared" si="0"/>
        <v>104.88901757593786</v>
      </c>
    </row>
    <row r="71" spans="2:7">
      <c r="B71" s="91" t="s">
        <v>1016</v>
      </c>
      <c r="C71" s="91" t="s">
        <v>1026</v>
      </c>
      <c r="D71" s="91" t="s">
        <v>23</v>
      </c>
      <c r="E71" s="91" t="s">
        <v>244</v>
      </c>
      <c r="F71" s="18" t="s">
        <v>1017</v>
      </c>
      <c r="G71" s="91">
        <v>75.693760604347702</v>
      </c>
    </row>
    <row r="72" spans="2:7">
      <c r="B72" s="91" t="s">
        <v>1016</v>
      </c>
      <c r="C72" s="91" t="s">
        <v>1026</v>
      </c>
      <c r="D72" s="91" t="s">
        <v>23</v>
      </c>
      <c r="E72" s="91" t="s">
        <v>244</v>
      </c>
      <c r="F72" s="18" t="s">
        <v>1018</v>
      </c>
      <c r="G72" s="91">
        <v>78.382275231588395</v>
      </c>
    </row>
    <row r="73" spans="2:7">
      <c r="B73" s="91" t="s">
        <v>1016</v>
      </c>
      <c r="C73" s="91" t="s">
        <v>1026</v>
      </c>
      <c r="D73" s="91" t="s">
        <v>23</v>
      </c>
      <c r="E73" s="91" t="s">
        <v>244</v>
      </c>
      <c r="F73" s="18" t="s">
        <v>1019</v>
      </c>
      <c r="G73" s="91">
        <v>82.003735248225297</v>
      </c>
    </row>
    <row r="74" spans="2:7">
      <c r="B74" s="91" t="s">
        <v>1016</v>
      </c>
      <c r="C74" s="91" t="s">
        <v>1026</v>
      </c>
      <c r="D74" s="91" t="s">
        <v>23</v>
      </c>
      <c r="E74" s="91" t="s">
        <v>244</v>
      </c>
      <c r="F74" s="18" t="s">
        <v>1020</v>
      </c>
      <c r="G74" s="91">
        <v>84.679397843076202</v>
      </c>
    </row>
    <row r="75" spans="2:7">
      <c r="B75" s="91" t="s">
        <v>1016</v>
      </c>
      <c r="C75" s="91" t="s">
        <v>1026</v>
      </c>
      <c r="D75" s="91" t="s">
        <v>23</v>
      </c>
      <c r="E75" s="91" t="s">
        <v>244</v>
      </c>
      <c r="F75" s="18" t="s">
        <v>1021</v>
      </c>
      <c r="G75" s="91">
        <v>87.069584239818894</v>
      </c>
    </row>
    <row r="76" spans="2:7">
      <c r="B76" s="91" t="s">
        <v>1016</v>
      </c>
      <c r="C76" s="91" t="s">
        <v>1026</v>
      </c>
      <c r="D76" s="91" t="s">
        <v>23</v>
      </c>
      <c r="E76" s="91" t="s">
        <v>244</v>
      </c>
      <c r="F76" s="18" t="s">
        <v>1022</v>
      </c>
      <c r="G76" s="91">
        <v>89.361437078691594</v>
      </c>
    </row>
    <row r="77" spans="2:7">
      <c r="B77" s="91" t="s">
        <v>1016</v>
      </c>
      <c r="C77" s="91" t="s">
        <v>1026</v>
      </c>
      <c r="D77" s="91" t="s">
        <v>23</v>
      </c>
      <c r="E77" s="91" t="s">
        <v>244</v>
      </c>
      <c r="F77" s="18" t="s">
        <v>1023</v>
      </c>
      <c r="G77" s="91">
        <v>91.832702198127606</v>
      </c>
    </row>
    <row r="78" spans="2:7">
      <c r="B78" s="91" t="s">
        <v>1016</v>
      </c>
      <c r="C78" s="91" t="s">
        <v>1026</v>
      </c>
      <c r="D78" s="91" t="s">
        <v>23</v>
      </c>
      <c r="E78" s="91" t="s">
        <v>244</v>
      </c>
      <c r="F78" s="18" t="s">
        <v>1024</v>
      </c>
      <c r="G78" s="91">
        <v>96.096611412369896</v>
      </c>
    </row>
    <row r="79" spans="2:7">
      <c r="B79" s="91" t="s">
        <v>1016</v>
      </c>
      <c r="C79" s="91" t="s">
        <v>1026</v>
      </c>
      <c r="D79" s="91" t="s">
        <v>183</v>
      </c>
      <c r="E79" s="91" t="s">
        <v>244</v>
      </c>
      <c r="F79" s="18" t="s">
        <v>1017</v>
      </c>
      <c r="G79" s="91">
        <v>74.916391548744102</v>
      </c>
    </row>
    <row r="80" spans="2:7">
      <c r="B80" s="91" t="s">
        <v>1016</v>
      </c>
      <c r="C80" s="91" t="s">
        <v>1026</v>
      </c>
      <c r="D80" s="91" t="s">
        <v>183</v>
      </c>
      <c r="E80" s="91" t="s">
        <v>244</v>
      </c>
      <c r="F80" s="18" t="s">
        <v>1018</v>
      </c>
      <c r="G80" s="91">
        <v>64.228919291552103</v>
      </c>
    </row>
    <row r="81" spans="2:39">
      <c r="B81" s="91" t="s">
        <v>1016</v>
      </c>
      <c r="C81" s="91" t="s">
        <v>1026</v>
      </c>
      <c r="D81" s="91" t="s">
        <v>183</v>
      </c>
      <c r="E81" s="91" t="s">
        <v>244</v>
      </c>
      <c r="F81" s="18" t="s">
        <v>1019</v>
      </c>
      <c r="G81" s="91">
        <v>49.943957566002901</v>
      </c>
    </row>
    <row r="82" spans="2:39">
      <c r="B82" s="91" t="s">
        <v>1016</v>
      </c>
      <c r="C82" s="91" t="s">
        <v>1026</v>
      </c>
      <c r="D82" s="91" t="s">
        <v>183</v>
      </c>
      <c r="E82" s="91" t="s">
        <v>244</v>
      </c>
      <c r="F82" s="18" t="s">
        <v>1020</v>
      </c>
      <c r="G82" s="91">
        <v>98.088164793674096</v>
      </c>
    </row>
    <row r="83" spans="2:39">
      <c r="B83" s="91" t="s">
        <v>1016</v>
      </c>
      <c r="C83" s="91" t="s">
        <v>1026</v>
      </c>
      <c r="D83" s="91" t="s">
        <v>183</v>
      </c>
      <c r="E83" s="91" t="s">
        <v>244</v>
      </c>
      <c r="F83" s="18" t="s">
        <v>1021</v>
      </c>
      <c r="G83" s="91">
        <v>101.494231906634</v>
      </c>
    </row>
    <row r="84" spans="2:39">
      <c r="B84" s="91" t="s">
        <v>1016</v>
      </c>
      <c r="C84" s="91" t="s">
        <v>1026</v>
      </c>
      <c r="D84" s="91" t="s">
        <v>183</v>
      </c>
      <c r="E84" s="91" t="s">
        <v>244</v>
      </c>
      <c r="F84" s="18" t="s">
        <v>1022</v>
      </c>
      <c r="G84" s="91">
        <v>78.840082220572</v>
      </c>
    </row>
    <row r="85" spans="2:39">
      <c r="B85" s="91" t="s">
        <v>1016</v>
      </c>
      <c r="C85" s="91" t="s">
        <v>1026</v>
      </c>
      <c r="D85" s="91" t="s">
        <v>183</v>
      </c>
      <c r="E85" s="91" t="s">
        <v>244</v>
      </c>
      <c r="F85" s="18" t="s">
        <v>1023</v>
      </c>
      <c r="G85" s="91">
        <v>86.171166010709598</v>
      </c>
    </row>
    <row r="86" spans="2:39">
      <c r="B86" s="91" t="s">
        <v>1016</v>
      </c>
      <c r="C86" s="91" t="s">
        <v>1026</v>
      </c>
      <c r="D86" s="91" t="s">
        <v>183</v>
      </c>
      <c r="E86" s="91" t="s">
        <v>244</v>
      </c>
      <c r="F86" s="18" t="s">
        <v>1024</v>
      </c>
      <c r="G86" s="91">
        <v>107.33202319390401</v>
      </c>
    </row>
    <row r="87" spans="2:39">
      <c r="B87" s="91" t="s">
        <v>1016</v>
      </c>
      <c r="C87" s="91" t="s">
        <v>1026</v>
      </c>
      <c r="D87" s="91" t="s">
        <v>22</v>
      </c>
      <c r="E87" s="91" t="s">
        <v>244</v>
      </c>
      <c r="F87" s="18" t="s">
        <v>1017</v>
      </c>
      <c r="G87" s="91">
        <v>46.802512515422102</v>
      </c>
    </row>
    <row r="88" spans="2:39">
      <c r="B88" s="91" t="s">
        <v>1016</v>
      </c>
      <c r="C88" s="91" t="s">
        <v>1026</v>
      </c>
      <c r="D88" s="91" t="s">
        <v>22</v>
      </c>
      <c r="E88" s="91" t="s">
        <v>244</v>
      </c>
      <c r="F88" s="18" t="s">
        <v>1018</v>
      </c>
      <c r="G88" s="91">
        <v>28.4563369499521</v>
      </c>
    </row>
    <row r="89" spans="2:39">
      <c r="B89" s="91" t="s">
        <v>1016</v>
      </c>
      <c r="C89" s="91" t="s">
        <v>1026</v>
      </c>
      <c r="D89" s="91" t="s">
        <v>22</v>
      </c>
      <c r="E89" s="91" t="s">
        <v>244</v>
      </c>
      <c r="F89" s="18" t="s">
        <v>1019</v>
      </c>
      <c r="G89" s="91">
        <v>37.507360084808198</v>
      </c>
    </row>
    <row r="90" spans="2:39">
      <c r="B90" s="91" t="s">
        <v>1016</v>
      </c>
      <c r="C90" s="91" t="s">
        <v>1026</v>
      </c>
      <c r="D90" s="91" t="s">
        <v>22</v>
      </c>
      <c r="E90" s="91" t="s">
        <v>244</v>
      </c>
      <c r="F90" s="18" t="s">
        <v>1020</v>
      </c>
      <c r="G90" s="91">
        <v>0.53436866609558298</v>
      </c>
    </row>
    <row r="91" spans="2:39">
      <c r="B91" s="91" t="s">
        <v>1016</v>
      </c>
      <c r="C91" s="91" t="s">
        <v>1026</v>
      </c>
      <c r="D91" s="91" t="s">
        <v>22</v>
      </c>
      <c r="E91" s="91" t="s">
        <v>244</v>
      </c>
      <c r="F91" s="18" t="s">
        <v>1021</v>
      </c>
      <c r="G91" s="91">
        <v>-7.2297810195879899</v>
      </c>
    </row>
    <row r="92" spans="2:39">
      <c r="B92" s="91" t="s">
        <v>1016</v>
      </c>
      <c r="C92" s="91" t="s">
        <v>1026</v>
      </c>
      <c r="D92" s="91" t="s">
        <v>22</v>
      </c>
      <c r="E92" s="91" t="s">
        <v>244</v>
      </c>
      <c r="F92" s="18" t="s">
        <v>1022</v>
      </c>
      <c r="G92" s="91">
        <v>-46.507872233251</v>
      </c>
    </row>
    <row r="93" spans="2:39">
      <c r="B93" s="91" t="s">
        <v>1016</v>
      </c>
      <c r="C93" s="91" t="s">
        <v>1026</v>
      </c>
      <c r="D93" s="91" t="s">
        <v>22</v>
      </c>
      <c r="E93" s="91" t="s">
        <v>244</v>
      </c>
      <c r="F93" s="18" t="s">
        <v>1023</v>
      </c>
      <c r="G93" s="91">
        <v>16.181940775506401</v>
      </c>
    </row>
    <row r="94" spans="2:39">
      <c r="B94" s="91" t="s">
        <v>1016</v>
      </c>
      <c r="C94" s="91" t="s">
        <v>1026</v>
      </c>
      <c r="D94" s="91" t="s">
        <v>22</v>
      </c>
      <c r="E94" s="91" t="s">
        <v>244</v>
      </c>
      <c r="F94" s="18" t="s">
        <v>1024</v>
      </c>
      <c r="G94" s="91">
        <v>-7.1215375466131796</v>
      </c>
    </row>
    <row r="95" spans="2:39">
      <c r="B95" s="91" t="s">
        <v>1016</v>
      </c>
      <c r="C95" s="91" t="s">
        <v>1026</v>
      </c>
      <c r="D95" s="91" t="s">
        <v>601</v>
      </c>
      <c r="E95" s="91" t="s">
        <v>244</v>
      </c>
      <c r="F95" s="18" t="s">
        <v>1017</v>
      </c>
      <c r="G95" s="91">
        <f t="shared" ref="G95:G101" si="1">SUMPRODUCT(H95:AM95,$H$5:$AM$5)</f>
        <v>73.329291794873484</v>
      </c>
      <c r="H95" s="91">
        <v>76.923345650845604</v>
      </c>
      <c r="I95" s="91">
        <v>73.263294096425298</v>
      </c>
      <c r="J95" s="91">
        <v>73.263294096425298</v>
      </c>
      <c r="K95" s="91">
        <v>73.263294096425298</v>
      </c>
      <c r="L95" s="91">
        <v>76.753977690700495</v>
      </c>
      <c r="M95" s="91">
        <v>73.263294096425298</v>
      </c>
      <c r="N95" s="91">
        <v>73.263294096425298</v>
      </c>
      <c r="O95" s="91">
        <v>73.263294096425298</v>
      </c>
      <c r="P95" s="91">
        <v>73.263294096425298</v>
      </c>
      <c r="Q95" s="91">
        <v>73.263294096425298</v>
      </c>
      <c r="R95" s="91">
        <v>73.263294096425298</v>
      </c>
      <c r="S95" s="91">
        <v>73.263294096425298</v>
      </c>
      <c r="T95" s="91">
        <v>73.263294096425298</v>
      </c>
      <c r="U95" s="91">
        <v>73.263294096425298</v>
      </c>
      <c r="V95" s="91">
        <v>73.263294096425298</v>
      </c>
      <c r="W95" s="91">
        <v>73.263294096425298</v>
      </c>
      <c r="X95" s="91">
        <v>77.091072208583796</v>
      </c>
      <c r="Y95" s="91">
        <v>73.263294096425298</v>
      </c>
      <c r="Z95" s="91">
        <v>73.653739117122996</v>
      </c>
      <c r="AA95" s="91">
        <v>73.263294096425298</v>
      </c>
      <c r="AB95" s="91">
        <v>75.548306999576397</v>
      </c>
      <c r="AC95" s="91">
        <v>73.263294096425298</v>
      </c>
      <c r="AD95" s="91">
        <v>73.263294096425298</v>
      </c>
      <c r="AE95" s="91">
        <v>73.263294096425298</v>
      </c>
      <c r="AF95" s="91">
        <v>74.790277270075094</v>
      </c>
      <c r="AG95" s="91">
        <v>73.263294096425298</v>
      </c>
      <c r="AH95" s="91">
        <v>73.263294096425298</v>
      </c>
      <c r="AI95" s="91">
        <v>73.263294096425298</v>
      </c>
      <c r="AJ95" s="91">
        <v>73.263294096425298</v>
      </c>
      <c r="AK95" s="91">
        <v>73.263294096425298</v>
      </c>
      <c r="AL95" s="91">
        <v>73.263294096425298</v>
      </c>
      <c r="AM95" s="91">
        <v>73.263294096425298</v>
      </c>
    </row>
    <row r="96" spans="2:39">
      <c r="B96" s="91" t="s">
        <v>1016</v>
      </c>
      <c r="C96" s="91" t="s">
        <v>1026</v>
      </c>
      <c r="D96" s="91" t="s">
        <v>601</v>
      </c>
      <c r="E96" s="91" t="s">
        <v>244</v>
      </c>
      <c r="F96" s="18" t="s">
        <v>1018</v>
      </c>
      <c r="G96" s="91">
        <f t="shared" si="1"/>
        <v>52.253496292935431</v>
      </c>
      <c r="H96" s="91">
        <v>57.078809229630899</v>
      </c>
      <c r="I96" s="91">
        <v>52.152956466957797</v>
      </c>
      <c r="J96" s="91">
        <v>52.152956466957797</v>
      </c>
      <c r="K96" s="91">
        <v>52.152956466957797</v>
      </c>
      <c r="L96" s="91">
        <v>56.6913570000291</v>
      </c>
      <c r="M96" s="91">
        <v>52.152956466957797</v>
      </c>
      <c r="N96" s="91">
        <v>52.152956466957797</v>
      </c>
      <c r="O96" s="91">
        <v>52.152956466957797</v>
      </c>
      <c r="P96" s="91">
        <v>52.235742960140499</v>
      </c>
      <c r="Q96" s="91">
        <v>52.152956466957797</v>
      </c>
      <c r="R96" s="91">
        <v>52.152956466957797</v>
      </c>
      <c r="S96" s="91">
        <v>52.152956466957797</v>
      </c>
      <c r="T96" s="91">
        <v>52.152956466957797</v>
      </c>
      <c r="U96" s="91">
        <v>52.152956466957797</v>
      </c>
      <c r="V96" s="91">
        <v>52.152956466957797</v>
      </c>
      <c r="W96" s="91">
        <v>52.152956466957797</v>
      </c>
      <c r="X96" s="91">
        <v>55.620293534748598</v>
      </c>
      <c r="Y96" s="91">
        <v>52.152956466957797</v>
      </c>
      <c r="Z96" s="91">
        <v>52.152956466957903</v>
      </c>
      <c r="AA96" s="91">
        <v>52.434623187508997</v>
      </c>
      <c r="AB96" s="91">
        <v>55.482183312150802</v>
      </c>
      <c r="AC96" s="91">
        <v>52.152956466957797</v>
      </c>
      <c r="AD96" s="91">
        <v>52.152956466957797</v>
      </c>
      <c r="AE96" s="91">
        <v>52.152956466957797</v>
      </c>
      <c r="AF96" s="91">
        <v>55.253876810303296</v>
      </c>
      <c r="AG96" s="91">
        <v>52.152956466957797</v>
      </c>
      <c r="AH96" s="91">
        <v>52.152956466957797</v>
      </c>
      <c r="AI96" s="91">
        <v>52.152956466957797</v>
      </c>
      <c r="AJ96" s="91">
        <v>52.152956466957797</v>
      </c>
      <c r="AK96" s="91">
        <v>52.152956466957797</v>
      </c>
      <c r="AL96" s="91">
        <v>52.152956466957797</v>
      </c>
      <c r="AM96" s="91">
        <v>52.152956466957797</v>
      </c>
    </row>
    <row r="97" spans="2:39">
      <c r="B97" s="91" t="s">
        <v>1016</v>
      </c>
      <c r="C97" s="91" t="s">
        <v>1026</v>
      </c>
      <c r="D97" s="91" t="s">
        <v>601</v>
      </c>
      <c r="E97" s="91" t="s">
        <v>244</v>
      </c>
      <c r="F97" s="18" t="s">
        <v>1019</v>
      </c>
      <c r="G97" s="91">
        <f t="shared" si="1"/>
        <v>26.776751331009095</v>
      </c>
      <c r="H97" s="91">
        <v>26.776751331009098</v>
      </c>
      <c r="I97" s="91">
        <v>26.776751331009098</v>
      </c>
      <c r="J97" s="91">
        <v>26.776751331009098</v>
      </c>
      <c r="K97" s="91">
        <v>26.776751331009098</v>
      </c>
      <c r="L97" s="91">
        <v>26.776751331009098</v>
      </c>
      <c r="M97" s="91">
        <v>26.776751331009098</v>
      </c>
      <c r="N97" s="91">
        <v>26.776751331009098</v>
      </c>
      <c r="O97" s="91">
        <v>26.776751331009098</v>
      </c>
      <c r="P97" s="91">
        <v>26.776751331009098</v>
      </c>
      <c r="Q97" s="91">
        <v>26.776751331009098</v>
      </c>
      <c r="R97" s="91">
        <v>26.776751331009098</v>
      </c>
      <c r="S97" s="91">
        <v>26.776751331009098</v>
      </c>
      <c r="T97" s="91">
        <v>26.776751331009098</v>
      </c>
      <c r="U97" s="91">
        <v>26.776751331009098</v>
      </c>
      <c r="V97" s="91">
        <v>26.776751331009098</v>
      </c>
      <c r="W97" s="91">
        <v>26.776751331009098</v>
      </c>
      <c r="X97" s="91">
        <v>26.776751331009098</v>
      </c>
      <c r="Y97" s="91">
        <v>26.776751331009098</v>
      </c>
      <c r="Z97" s="91">
        <v>26.776751331009098</v>
      </c>
      <c r="AA97" s="91">
        <v>26.776751331009098</v>
      </c>
      <c r="AB97" s="91">
        <v>26.776751331009098</v>
      </c>
      <c r="AC97" s="91">
        <v>26.776751331009098</v>
      </c>
      <c r="AD97" s="91">
        <v>26.776751331009098</v>
      </c>
      <c r="AE97" s="91">
        <v>26.776751331009098</v>
      </c>
      <c r="AF97" s="91">
        <v>26.776751331009098</v>
      </c>
      <c r="AG97" s="91">
        <v>26.776751331009098</v>
      </c>
      <c r="AH97" s="91">
        <v>26.776751331009098</v>
      </c>
      <c r="AI97" s="91">
        <v>26.776751331009098</v>
      </c>
      <c r="AJ97" s="91">
        <v>26.776751331009098</v>
      </c>
      <c r="AK97" s="91">
        <v>26.776751331009098</v>
      </c>
      <c r="AL97" s="91">
        <v>26.776751331009098</v>
      </c>
      <c r="AM97" s="91">
        <v>26.776751331009098</v>
      </c>
    </row>
    <row r="98" spans="2:39">
      <c r="B98" s="91" t="s">
        <v>1016</v>
      </c>
      <c r="C98" s="91" t="s">
        <v>1026</v>
      </c>
      <c r="D98" s="91" t="s">
        <v>601</v>
      </c>
      <c r="E98" s="91" t="s">
        <v>244</v>
      </c>
      <c r="F98" s="18" t="s">
        <v>1020</v>
      </c>
      <c r="G98" s="91">
        <f t="shared" si="1"/>
        <v>44.414860936297593</v>
      </c>
      <c r="H98" s="91">
        <v>44.4148609362976</v>
      </c>
      <c r="I98" s="91">
        <v>44.4148609362976</v>
      </c>
      <c r="J98" s="91">
        <v>44.4148609362976</v>
      </c>
      <c r="K98" s="91">
        <v>44.4148609362976</v>
      </c>
      <c r="L98" s="91">
        <v>44.4148609362976</v>
      </c>
      <c r="M98" s="91">
        <v>44.4148609362976</v>
      </c>
      <c r="N98" s="91">
        <v>44.4148609362976</v>
      </c>
      <c r="O98" s="91">
        <v>44.4148609362976</v>
      </c>
      <c r="P98" s="91">
        <v>44.4148609362976</v>
      </c>
      <c r="Q98" s="91">
        <v>44.4148609362976</v>
      </c>
      <c r="R98" s="91">
        <v>44.4148609362976</v>
      </c>
      <c r="S98" s="91">
        <v>44.4148609362976</v>
      </c>
      <c r="T98" s="91">
        <v>44.4148609362976</v>
      </c>
      <c r="U98" s="91">
        <v>44.4148609362976</v>
      </c>
      <c r="V98" s="91">
        <v>44.4148609362976</v>
      </c>
      <c r="W98" s="91">
        <v>44.4148609362976</v>
      </c>
      <c r="X98" s="91">
        <v>44.4148609362976</v>
      </c>
      <c r="Y98" s="91">
        <v>44.4148609362976</v>
      </c>
      <c r="Z98" s="91">
        <v>44.4148609362976</v>
      </c>
      <c r="AA98" s="91">
        <v>44.4148609362976</v>
      </c>
      <c r="AB98" s="91">
        <v>44.4148609362976</v>
      </c>
      <c r="AC98" s="91">
        <v>44.4148609362976</v>
      </c>
      <c r="AD98" s="91">
        <v>44.4148609362976</v>
      </c>
      <c r="AE98" s="91">
        <v>44.4148609362976</v>
      </c>
      <c r="AF98" s="91">
        <v>44.4148609362976</v>
      </c>
      <c r="AG98" s="91">
        <v>44.4148609362976</v>
      </c>
      <c r="AH98" s="91">
        <v>44.4148609362976</v>
      </c>
      <c r="AI98" s="91">
        <v>44.4148609362976</v>
      </c>
      <c r="AJ98" s="91">
        <v>44.4148609362976</v>
      </c>
      <c r="AK98" s="91">
        <v>44.4148609362976</v>
      </c>
      <c r="AL98" s="91">
        <v>44.4148609362976</v>
      </c>
      <c r="AM98" s="91">
        <v>44.4148609362976</v>
      </c>
    </row>
    <row r="99" spans="2:39">
      <c r="B99" s="91" t="s">
        <v>1016</v>
      </c>
      <c r="C99" s="91" t="s">
        <v>1026</v>
      </c>
      <c r="D99" s="91" t="s">
        <v>601</v>
      </c>
      <c r="E99" s="91" t="s">
        <v>244</v>
      </c>
      <c r="F99" s="18" t="s">
        <v>1021</v>
      </c>
      <c r="G99" s="91">
        <f t="shared" si="1"/>
        <v>37.233344143868898</v>
      </c>
      <c r="H99" s="91">
        <v>37.233344143868898</v>
      </c>
      <c r="I99" s="91">
        <v>37.233344143868898</v>
      </c>
      <c r="J99" s="91">
        <v>37.233344143868898</v>
      </c>
      <c r="K99" s="91">
        <v>37.233344143868898</v>
      </c>
      <c r="L99" s="91">
        <v>37.233344143868898</v>
      </c>
      <c r="M99" s="91">
        <v>37.233344143868898</v>
      </c>
      <c r="N99" s="91">
        <v>37.233344143868898</v>
      </c>
      <c r="O99" s="91">
        <v>37.233344143868898</v>
      </c>
      <c r="P99" s="91">
        <v>37.233344143868898</v>
      </c>
      <c r="Q99" s="91">
        <v>37.233344143868898</v>
      </c>
      <c r="R99" s="91">
        <v>37.233344143868898</v>
      </c>
      <c r="S99" s="91">
        <v>37.233344143868898</v>
      </c>
      <c r="T99" s="91">
        <v>37.233344143868898</v>
      </c>
      <c r="U99" s="91">
        <v>37.233344143868898</v>
      </c>
      <c r="V99" s="91">
        <v>37.233344143868898</v>
      </c>
      <c r="W99" s="91">
        <v>37.233344143868898</v>
      </c>
      <c r="X99" s="91">
        <v>37.233344143868898</v>
      </c>
      <c r="Y99" s="91">
        <v>37.233344143868898</v>
      </c>
      <c r="Z99" s="91">
        <v>37.233344143868898</v>
      </c>
      <c r="AA99" s="91">
        <v>37.233344143868898</v>
      </c>
      <c r="AB99" s="91">
        <v>37.233344143868898</v>
      </c>
      <c r="AC99" s="91">
        <v>37.233344143868898</v>
      </c>
      <c r="AD99" s="91">
        <v>37.233344143868898</v>
      </c>
      <c r="AE99" s="91">
        <v>37.233344143868898</v>
      </c>
      <c r="AF99" s="91">
        <v>37.233344143868898</v>
      </c>
      <c r="AG99" s="91">
        <v>37.233344143868898</v>
      </c>
      <c r="AH99" s="91">
        <v>37.233344143868898</v>
      </c>
      <c r="AI99" s="91">
        <v>37.233344143868898</v>
      </c>
      <c r="AJ99" s="91">
        <v>37.233344143868898</v>
      </c>
      <c r="AK99" s="91">
        <v>37.233344143868898</v>
      </c>
      <c r="AL99" s="91">
        <v>37.233344143868898</v>
      </c>
      <c r="AM99" s="91">
        <v>37.233344143868898</v>
      </c>
    </row>
    <row r="100" spans="2:39">
      <c r="B100" s="91" t="s">
        <v>1016</v>
      </c>
      <c r="C100" s="91" t="s">
        <v>1026</v>
      </c>
      <c r="D100" s="91" t="s">
        <v>601</v>
      </c>
      <c r="E100" s="91" t="s">
        <v>244</v>
      </c>
      <c r="F100" s="18" t="s">
        <v>1023</v>
      </c>
      <c r="G100" s="91">
        <f t="shared" si="1"/>
        <v>27.834076232241262</v>
      </c>
      <c r="H100" s="91">
        <v>32.349147269812804</v>
      </c>
      <c r="I100" s="91">
        <v>27.739079208946599</v>
      </c>
      <c r="J100" s="91">
        <v>27.739079208946599</v>
      </c>
      <c r="K100" s="91">
        <v>27.739079208946599</v>
      </c>
      <c r="L100" s="91">
        <v>31.670275452203601</v>
      </c>
      <c r="M100" s="91">
        <v>27.739079208946599</v>
      </c>
      <c r="N100" s="91">
        <v>27.739079208946599</v>
      </c>
      <c r="O100" s="91">
        <v>27.739079208946599</v>
      </c>
      <c r="P100" s="91">
        <v>27.739079208946599</v>
      </c>
      <c r="Q100" s="91">
        <v>27.739079208946599</v>
      </c>
      <c r="R100" s="91">
        <v>27.739079208946599</v>
      </c>
      <c r="S100" s="91">
        <v>27.739079208946599</v>
      </c>
      <c r="T100" s="91">
        <v>27.739079208946599</v>
      </c>
      <c r="U100" s="91">
        <v>27.739079208946599</v>
      </c>
      <c r="V100" s="91">
        <v>27.739079208946599</v>
      </c>
      <c r="W100" s="91">
        <v>27.739079208946599</v>
      </c>
      <c r="X100" s="91">
        <v>36.649678337743801</v>
      </c>
      <c r="Y100" s="91">
        <v>27.739079208946599</v>
      </c>
      <c r="Z100" s="91">
        <v>27.739079208946599</v>
      </c>
      <c r="AA100" s="91">
        <v>27.739079208946599</v>
      </c>
      <c r="AB100" s="91">
        <v>32.708261066511596</v>
      </c>
      <c r="AC100" s="91">
        <v>27.739079208946599</v>
      </c>
      <c r="AD100" s="91">
        <v>27.739079208946599</v>
      </c>
      <c r="AE100" s="91">
        <v>27.739079208946599</v>
      </c>
      <c r="AF100" s="91">
        <v>30.980243751825999</v>
      </c>
      <c r="AG100" s="91">
        <v>27.739079208946599</v>
      </c>
      <c r="AH100" s="91">
        <v>27.739079208946599</v>
      </c>
      <c r="AI100" s="91">
        <v>27.739079208946599</v>
      </c>
      <c r="AJ100" s="91">
        <v>28.5242094748718</v>
      </c>
      <c r="AK100" s="91">
        <v>27.739079208946599</v>
      </c>
      <c r="AL100" s="91">
        <v>27.739079208946599</v>
      </c>
      <c r="AM100" s="91">
        <v>27.739079208946599</v>
      </c>
    </row>
    <row r="101" spans="2:39">
      <c r="B101" s="91" t="s">
        <v>1016</v>
      </c>
      <c r="C101" s="91" t="s">
        <v>1026</v>
      </c>
      <c r="D101" s="91" t="s">
        <v>601</v>
      </c>
      <c r="E101" s="91" t="s">
        <v>244</v>
      </c>
      <c r="F101" s="18" t="s">
        <v>1024</v>
      </c>
      <c r="G101" s="91">
        <f t="shared" si="1"/>
        <v>36.273626755121427</v>
      </c>
      <c r="H101" s="91">
        <v>41.845913698638</v>
      </c>
      <c r="I101" s="91">
        <v>36.089189589337103</v>
      </c>
      <c r="J101" s="91">
        <v>36.089189589337103</v>
      </c>
      <c r="K101" s="91">
        <v>36.089189589337103</v>
      </c>
      <c r="L101" s="91">
        <v>41.084611359647603</v>
      </c>
      <c r="M101" s="91">
        <v>36.089189589337103</v>
      </c>
      <c r="N101" s="91">
        <v>36.089189589337103</v>
      </c>
      <c r="O101" s="91">
        <v>36.089189589337103</v>
      </c>
      <c r="P101" s="91">
        <v>37.023133257799699</v>
      </c>
      <c r="Q101" s="91">
        <v>36.089189589337103</v>
      </c>
      <c r="R101" s="91">
        <v>36.089189589337103</v>
      </c>
      <c r="S101" s="91">
        <v>36.089189589337103</v>
      </c>
      <c r="T101" s="91">
        <v>36.089189589337103</v>
      </c>
      <c r="U101" s="91">
        <v>36.089189589337103</v>
      </c>
      <c r="V101" s="91">
        <v>36.089189589337103</v>
      </c>
      <c r="W101" s="91">
        <v>36.089189589337103</v>
      </c>
      <c r="X101" s="91">
        <v>43.800686849385499</v>
      </c>
      <c r="Y101" s="91">
        <v>36.089189589337103</v>
      </c>
      <c r="Z101" s="91">
        <v>36.089189589337103</v>
      </c>
      <c r="AA101" s="91">
        <v>37.345674493621303</v>
      </c>
      <c r="AB101" s="91">
        <v>42.615754487637098</v>
      </c>
      <c r="AC101" s="91">
        <v>36.089189589337103</v>
      </c>
      <c r="AD101" s="91">
        <v>36.089189589337103</v>
      </c>
      <c r="AE101" s="91">
        <v>36.089189589337103</v>
      </c>
      <c r="AF101" s="91">
        <v>40.977666971554797</v>
      </c>
      <c r="AG101" s="91">
        <v>36.089189589337103</v>
      </c>
      <c r="AH101" s="91">
        <v>36.089189589337103</v>
      </c>
      <c r="AI101" s="91">
        <v>36.089189589337103</v>
      </c>
      <c r="AJ101" s="91">
        <v>36.089189589337103</v>
      </c>
      <c r="AK101" s="91">
        <v>36.089189589337103</v>
      </c>
      <c r="AL101" s="91">
        <v>36.089189589337103</v>
      </c>
      <c r="AM101" s="91">
        <v>36.089189589337103</v>
      </c>
    </row>
    <row r="102" spans="2:39">
      <c r="B102" s="91" t="s">
        <v>1016</v>
      </c>
      <c r="C102" s="91" t="s">
        <v>1026</v>
      </c>
      <c r="D102" s="91" t="s">
        <v>217</v>
      </c>
      <c r="E102" s="91" t="s">
        <v>244</v>
      </c>
      <c r="F102" s="18" t="s">
        <v>1017</v>
      </c>
      <c r="G102" s="91">
        <v>33.087866001086503</v>
      </c>
    </row>
    <row r="103" spans="2:39">
      <c r="B103" s="91" t="s">
        <v>1016</v>
      </c>
      <c r="C103" s="91" t="s">
        <v>1026</v>
      </c>
      <c r="D103" s="91" t="s">
        <v>217</v>
      </c>
      <c r="E103" s="91" t="s">
        <v>244</v>
      </c>
      <c r="F103" s="18" t="s">
        <v>1018</v>
      </c>
      <c r="G103" s="91">
        <v>15.603730393545501</v>
      </c>
    </row>
    <row r="104" spans="2:39">
      <c r="B104" s="91" t="s">
        <v>1016</v>
      </c>
      <c r="C104" s="91" t="s">
        <v>1026</v>
      </c>
      <c r="D104" s="91" t="s">
        <v>217</v>
      </c>
      <c r="E104" s="91" t="s">
        <v>244</v>
      </c>
      <c r="F104" s="18" t="s">
        <v>1019</v>
      </c>
      <c r="G104" s="91">
        <v>38.757318426258003</v>
      </c>
    </row>
    <row r="105" spans="2:39">
      <c r="B105" s="91" t="s">
        <v>1016</v>
      </c>
      <c r="C105" s="91" t="s">
        <v>1026</v>
      </c>
      <c r="D105" s="91" t="s">
        <v>217</v>
      </c>
      <c r="E105" s="91" t="s">
        <v>244</v>
      </c>
      <c r="F105" s="18" t="s">
        <v>1020</v>
      </c>
      <c r="G105" s="91">
        <v>40.647310864462902</v>
      </c>
    </row>
    <row r="106" spans="2:39">
      <c r="B106" s="91" t="s">
        <v>1016</v>
      </c>
      <c r="C106" s="91" t="s">
        <v>1026</v>
      </c>
      <c r="D106" s="91" t="s">
        <v>217</v>
      </c>
      <c r="E106" s="91" t="s">
        <v>244</v>
      </c>
      <c r="F106" s="18" t="s">
        <v>1021</v>
      </c>
      <c r="G106" s="91">
        <v>41.684380314077004</v>
      </c>
    </row>
    <row r="107" spans="2:39">
      <c r="B107" s="91" t="s">
        <v>1016</v>
      </c>
      <c r="C107" s="91" t="s">
        <v>1026</v>
      </c>
      <c r="D107" s="91" t="s">
        <v>217</v>
      </c>
      <c r="E107" s="91" t="s">
        <v>244</v>
      </c>
      <c r="F107" s="18" t="s">
        <v>1022</v>
      </c>
      <c r="G107" s="91">
        <v>41.125690700310599</v>
      </c>
    </row>
    <row r="108" spans="2:39">
      <c r="B108" s="91" t="s">
        <v>1016</v>
      </c>
      <c r="C108" s="91" t="s">
        <v>1026</v>
      </c>
      <c r="D108" s="91" t="s">
        <v>217</v>
      </c>
      <c r="E108" s="91" t="s">
        <v>244</v>
      </c>
      <c r="F108" s="18" t="s">
        <v>1023</v>
      </c>
      <c r="G108" s="91">
        <v>13.9012106618044</v>
      </c>
    </row>
    <row r="109" spans="2:39">
      <c r="B109" s="91" t="s">
        <v>1016</v>
      </c>
      <c r="C109" s="91" t="s">
        <v>1026</v>
      </c>
      <c r="D109" s="91" t="s">
        <v>217</v>
      </c>
      <c r="E109" s="91" t="s">
        <v>244</v>
      </c>
      <c r="F109" s="18" t="s">
        <v>1024</v>
      </c>
      <c r="G109" s="91">
        <v>26.288353923593899</v>
      </c>
    </row>
    <row r="110" spans="2:39">
      <c r="B110" s="91" t="s">
        <v>1016</v>
      </c>
      <c r="C110" s="91" t="s">
        <v>1026</v>
      </c>
      <c r="D110" s="91" t="s">
        <v>310</v>
      </c>
      <c r="E110" s="91" t="s">
        <v>244</v>
      </c>
      <c r="F110" s="18" t="s">
        <v>1017</v>
      </c>
      <c r="G110" s="91">
        <f t="shared" ref="G110:G117" si="2">SUMPRODUCT(H110:AM110,$H$5:$AM$5)</f>
        <v>175.09192649954923</v>
      </c>
      <c r="H110" s="91">
        <v>139.14888035699201</v>
      </c>
      <c r="I110" s="91">
        <v>183.17051067316299</v>
      </c>
      <c r="J110" s="91">
        <v>168.76395216766599</v>
      </c>
      <c r="K110" s="91">
        <v>175.09751229165599</v>
      </c>
      <c r="L110" s="91">
        <v>140.51817423802601</v>
      </c>
      <c r="M110" s="91">
        <v>183.05943412135301</v>
      </c>
      <c r="N110" s="91">
        <v>168.76395216766599</v>
      </c>
      <c r="O110" s="91">
        <v>176.25303879834601</v>
      </c>
      <c r="P110" s="91">
        <v>169.15879536808501</v>
      </c>
      <c r="Q110" s="91">
        <v>188.85362513739801</v>
      </c>
      <c r="R110" s="91">
        <v>178.56403273137201</v>
      </c>
      <c r="S110" s="91">
        <v>176.25303879834601</v>
      </c>
      <c r="T110" s="91">
        <v>175.22087443252499</v>
      </c>
      <c r="U110" s="91">
        <v>188.85362513739801</v>
      </c>
      <c r="V110" s="91">
        <v>181.08014430757899</v>
      </c>
      <c r="W110" s="91">
        <v>181.08014430757899</v>
      </c>
      <c r="X110" s="91">
        <v>137.79285676787299</v>
      </c>
      <c r="Y110" s="91">
        <v>176.25303879834601</v>
      </c>
      <c r="Z110" s="91">
        <v>165.5827596821</v>
      </c>
      <c r="AA110" s="91">
        <v>168.739401453445</v>
      </c>
      <c r="AB110" s="91">
        <v>150.265693771732</v>
      </c>
      <c r="AC110" s="91">
        <v>176.25303879834601</v>
      </c>
      <c r="AD110" s="91">
        <v>168.739401453445</v>
      </c>
      <c r="AE110" s="91">
        <v>176.25303879834601</v>
      </c>
      <c r="AF110" s="91">
        <v>156.39415791193201</v>
      </c>
      <c r="AG110" s="91">
        <v>203.07050431435201</v>
      </c>
      <c r="AH110" s="91">
        <v>173.95209139378301</v>
      </c>
      <c r="AI110" s="91">
        <v>174.710393818776</v>
      </c>
      <c r="AJ110" s="91">
        <v>168.76395216766599</v>
      </c>
      <c r="AK110" s="91">
        <v>191.39017750508299</v>
      </c>
      <c r="AL110" s="91">
        <v>178.797085473837</v>
      </c>
      <c r="AM110" s="91">
        <v>181.08014430757899</v>
      </c>
    </row>
    <row r="111" spans="2:39">
      <c r="B111" s="91" t="s">
        <v>1016</v>
      </c>
      <c r="C111" s="91" t="s">
        <v>1026</v>
      </c>
      <c r="D111" s="91" t="s">
        <v>310</v>
      </c>
      <c r="E111" s="91" t="s">
        <v>244</v>
      </c>
      <c r="F111" s="18" t="s">
        <v>1018</v>
      </c>
      <c r="G111" s="91">
        <f t="shared" si="2"/>
        <v>145.46500774396048</v>
      </c>
      <c r="H111" s="91">
        <v>108.83316147927999</v>
      </c>
      <c r="I111" s="91">
        <v>162.317508894322</v>
      </c>
      <c r="J111" s="91">
        <v>138.45452438397101</v>
      </c>
      <c r="K111" s="91">
        <v>140.32456260957301</v>
      </c>
      <c r="L111" s="91">
        <v>111.965607348807</v>
      </c>
      <c r="M111" s="91">
        <v>155.93138650006</v>
      </c>
      <c r="N111" s="91">
        <v>139.68601260432999</v>
      </c>
      <c r="O111" s="91">
        <v>141.48207480158399</v>
      </c>
      <c r="P111" s="91">
        <v>137.88206966035699</v>
      </c>
      <c r="Q111" s="91">
        <v>162.76398591806901</v>
      </c>
      <c r="R111" s="91">
        <v>148.65734098185101</v>
      </c>
      <c r="S111" s="91">
        <v>144.41855949092499</v>
      </c>
      <c r="T111" s="91">
        <v>142.89722131098199</v>
      </c>
      <c r="U111" s="91">
        <v>162.18297264139301</v>
      </c>
      <c r="V111" s="91">
        <v>152.32404183860399</v>
      </c>
      <c r="W111" s="91">
        <v>156.13819162820801</v>
      </c>
      <c r="X111" s="91">
        <v>107.85630117995601</v>
      </c>
      <c r="Y111" s="91">
        <v>147.053659443193</v>
      </c>
      <c r="Z111" s="91">
        <v>138.162594896803</v>
      </c>
      <c r="AA111" s="91">
        <v>137.20815631214799</v>
      </c>
      <c r="AB111" s="91">
        <v>121.741447658277</v>
      </c>
      <c r="AC111" s="91">
        <v>150.38904582713801</v>
      </c>
      <c r="AD111" s="91">
        <v>139.68601260432999</v>
      </c>
      <c r="AE111" s="91">
        <v>141.032070029473</v>
      </c>
      <c r="AF111" s="91">
        <v>123.58724361468001</v>
      </c>
      <c r="AG111" s="91">
        <v>184.14102382460899</v>
      </c>
      <c r="AH111" s="91">
        <v>141.555812051229</v>
      </c>
      <c r="AI111" s="91">
        <v>144.239399637958</v>
      </c>
      <c r="AJ111" s="91">
        <v>140.32456260957301</v>
      </c>
      <c r="AK111" s="91">
        <v>165.786931111153</v>
      </c>
      <c r="AL111" s="91">
        <v>150.38904582713801</v>
      </c>
      <c r="AM111" s="91">
        <v>158.34612016869301</v>
      </c>
    </row>
    <row r="112" spans="2:39">
      <c r="B112" s="91" t="s">
        <v>1016</v>
      </c>
      <c r="C112" s="91" t="s">
        <v>1026</v>
      </c>
      <c r="D112" s="91" t="s">
        <v>310</v>
      </c>
      <c r="E112" s="91" t="s">
        <v>244</v>
      </c>
      <c r="F112" s="18" t="s">
        <v>1019</v>
      </c>
      <c r="G112" s="91">
        <f t="shared" si="2"/>
        <v>173.78578505616454</v>
      </c>
      <c r="H112" s="91">
        <v>132.04612216001399</v>
      </c>
      <c r="I112" s="91">
        <v>195.07148914449601</v>
      </c>
      <c r="J112" s="91">
        <v>165.03616829101699</v>
      </c>
      <c r="K112" s="91">
        <v>164.916390159797</v>
      </c>
      <c r="L112" s="91">
        <v>137.21432657595301</v>
      </c>
      <c r="M112" s="91">
        <v>204.243049205202</v>
      </c>
      <c r="N112" s="91">
        <v>172.83571640081101</v>
      </c>
      <c r="O112" s="91">
        <v>180.881208914616</v>
      </c>
      <c r="P112" s="91">
        <v>159.609567297056</v>
      </c>
      <c r="Q112" s="91">
        <v>194.95446029099699</v>
      </c>
      <c r="R112" s="91">
        <v>179.732011255885</v>
      </c>
      <c r="S112" s="91">
        <v>172.95322999607299</v>
      </c>
      <c r="T112" s="91">
        <v>167.57364761881999</v>
      </c>
      <c r="U112" s="91">
        <v>197.48846929931</v>
      </c>
      <c r="V112" s="91">
        <v>182.39383517274101</v>
      </c>
      <c r="W112" s="91">
        <v>186.112213883565</v>
      </c>
      <c r="X112" s="91">
        <v>121.032033610933</v>
      </c>
      <c r="Y112" s="91">
        <v>178.214838091595</v>
      </c>
      <c r="Z112" s="91">
        <v>161.27694676665001</v>
      </c>
      <c r="AA112" s="91">
        <v>156.91289535826601</v>
      </c>
      <c r="AB112" s="91">
        <v>138.005782591578</v>
      </c>
      <c r="AC112" s="91">
        <v>189.16254731260901</v>
      </c>
      <c r="AD112" s="91">
        <v>163.98715473464401</v>
      </c>
      <c r="AE112" s="91">
        <v>173.67990662506301</v>
      </c>
      <c r="AF112" s="91">
        <v>142.78057600867101</v>
      </c>
      <c r="AG112" s="91">
        <v>223.84213384172301</v>
      </c>
      <c r="AH112" s="91">
        <v>165.85134341119101</v>
      </c>
      <c r="AI112" s="91">
        <v>166.046114574456</v>
      </c>
      <c r="AJ112" s="91">
        <v>159.820139092739</v>
      </c>
      <c r="AK112" s="91">
        <v>200.84154891278001</v>
      </c>
      <c r="AL112" s="91">
        <v>178.281515638038</v>
      </c>
      <c r="AM112" s="91">
        <v>185.24895519684699</v>
      </c>
    </row>
    <row r="113" spans="2:39">
      <c r="B113" s="91" t="s">
        <v>1016</v>
      </c>
      <c r="C113" s="91" t="s">
        <v>1026</v>
      </c>
      <c r="D113" s="91" t="s">
        <v>310</v>
      </c>
      <c r="E113" s="91" t="s">
        <v>244</v>
      </c>
      <c r="F113" s="18" t="s">
        <v>1020</v>
      </c>
      <c r="G113" s="91">
        <f t="shared" si="2"/>
        <v>162.51476902673261</v>
      </c>
      <c r="H113" s="91">
        <v>100.7177720924</v>
      </c>
      <c r="I113" s="91">
        <v>200.69771238633001</v>
      </c>
      <c r="J113" s="91">
        <v>153.58320646401901</v>
      </c>
      <c r="K113" s="91">
        <v>153.43875414052701</v>
      </c>
      <c r="L113" s="91">
        <v>105.187272094946</v>
      </c>
      <c r="M113" s="91">
        <v>212.71128202341001</v>
      </c>
      <c r="N113" s="91">
        <v>157.300546003661</v>
      </c>
      <c r="O113" s="91">
        <v>165.308234200074</v>
      </c>
      <c r="P113" s="91">
        <v>148.17612158609799</v>
      </c>
      <c r="Q113" s="91">
        <v>196.24308823058499</v>
      </c>
      <c r="R113" s="91">
        <v>169.047720437479</v>
      </c>
      <c r="S113" s="91">
        <v>159.44436024117499</v>
      </c>
      <c r="T113" s="91">
        <v>153.43875414052701</v>
      </c>
      <c r="U113" s="91">
        <v>192.720653638946</v>
      </c>
      <c r="V113" s="91">
        <v>169.25820628968901</v>
      </c>
      <c r="W113" s="91">
        <v>179.00089936733301</v>
      </c>
      <c r="X113" s="91">
        <v>100.514257791318</v>
      </c>
      <c r="Y113" s="91">
        <v>165.47078852267899</v>
      </c>
      <c r="Z113" s="91">
        <v>149.04958853069701</v>
      </c>
      <c r="AA113" s="91">
        <v>143.78654627613901</v>
      </c>
      <c r="AB113" s="91">
        <v>120.984584500069</v>
      </c>
      <c r="AC113" s="91">
        <v>182.67959886585601</v>
      </c>
      <c r="AD113" s="91">
        <v>152.31809701499</v>
      </c>
      <c r="AE113" s="91">
        <v>155.08899699789899</v>
      </c>
      <c r="AF113" s="91">
        <v>117.785051669872</v>
      </c>
      <c r="AG113" s="91">
        <v>228.36732848484999</v>
      </c>
      <c r="AH113" s="91">
        <v>156.73502152740201</v>
      </c>
      <c r="AI113" s="91">
        <v>155.10973934926199</v>
      </c>
      <c r="AJ113" s="91">
        <v>134.93770549960999</v>
      </c>
      <c r="AK113" s="91">
        <v>197.650712208013</v>
      </c>
      <c r="AL113" s="91">
        <v>170.75928545667799</v>
      </c>
      <c r="AM113" s="91">
        <v>177.95981013174699</v>
      </c>
    </row>
    <row r="114" spans="2:39">
      <c r="B114" s="91" t="s">
        <v>1016</v>
      </c>
      <c r="C114" s="91" t="s">
        <v>1026</v>
      </c>
      <c r="D114" s="91" t="s">
        <v>310</v>
      </c>
      <c r="E114" s="91" t="s">
        <v>244</v>
      </c>
      <c r="F114" s="18" t="s">
        <v>1021</v>
      </c>
      <c r="G114" s="91">
        <f t="shared" si="2"/>
        <v>146.00519094552757</v>
      </c>
      <c r="H114" s="91">
        <v>72.125381330436298</v>
      </c>
      <c r="I114" s="91">
        <v>186.79684544900201</v>
      </c>
      <c r="J114" s="91">
        <v>134.900461516485</v>
      </c>
      <c r="K114" s="91">
        <v>134.73384077445101</v>
      </c>
      <c r="L114" s="91">
        <v>77.358763589830701</v>
      </c>
      <c r="M114" s="91">
        <v>200.65408110299299</v>
      </c>
      <c r="N114" s="91">
        <v>145.750242526975</v>
      </c>
      <c r="O114" s="91">
        <v>156.692907109592</v>
      </c>
      <c r="P114" s="91">
        <v>122.297785868606</v>
      </c>
      <c r="Q114" s="91">
        <v>181.65859107991</v>
      </c>
      <c r="R114" s="91">
        <v>150.28967812643799</v>
      </c>
      <c r="S114" s="91">
        <v>143.33749438316201</v>
      </c>
      <c r="T114" s="91">
        <v>133.093463122104</v>
      </c>
      <c r="U114" s="91">
        <v>180.044148595525</v>
      </c>
      <c r="V114" s="91">
        <v>157.06197796334499</v>
      </c>
      <c r="W114" s="91">
        <v>164.21888817752199</v>
      </c>
      <c r="X114" s="91">
        <v>72.890163572059294</v>
      </c>
      <c r="Y114" s="91">
        <v>153.233021215202</v>
      </c>
      <c r="Z114" s="91">
        <v>129.67109056638</v>
      </c>
      <c r="AA114" s="91">
        <v>123.313754486809</v>
      </c>
      <c r="AB114" s="91">
        <v>96.641964901574795</v>
      </c>
      <c r="AC114" s="91">
        <v>168.46214038242201</v>
      </c>
      <c r="AD114" s="91">
        <v>133.44120167175299</v>
      </c>
      <c r="AE114" s="91">
        <v>139.51957780175701</v>
      </c>
      <c r="AF114" s="91">
        <v>81.701908864394596</v>
      </c>
      <c r="AG114" s="91">
        <v>224.04008730535901</v>
      </c>
      <c r="AH114" s="91">
        <v>137.240043084495</v>
      </c>
      <c r="AI114" s="91">
        <v>134.21270064889001</v>
      </c>
      <c r="AJ114" s="91">
        <v>113.659631274831</v>
      </c>
      <c r="AK114" s="91">
        <v>185.62513048872799</v>
      </c>
      <c r="AL114" s="91">
        <v>156.527767314371</v>
      </c>
      <c r="AM114" s="91">
        <v>163.01802787453499</v>
      </c>
    </row>
    <row r="115" spans="2:39">
      <c r="B115" s="91" t="s">
        <v>1016</v>
      </c>
      <c r="C115" s="91" t="s">
        <v>1026</v>
      </c>
      <c r="D115" s="91" t="s">
        <v>310</v>
      </c>
      <c r="E115" s="91" t="s">
        <v>244</v>
      </c>
      <c r="F115" s="18" t="s">
        <v>1022</v>
      </c>
      <c r="G115" s="91">
        <f t="shared" si="2"/>
        <v>137.50781647858361</v>
      </c>
      <c r="H115" s="91">
        <v>68.589254783715106</v>
      </c>
      <c r="I115" s="91">
        <v>177.769146001991</v>
      </c>
      <c r="J115" s="91">
        <v>125.610954886001</v>
      </c>
      <c r="K115" s="91">
        <v>125.440891372523</v>
      </c>
      <c r="L115" s="91">
        <v>93.530791568151798</v>
      </c>
      <c r="M115" s="91">
        <v>191.91270432281601</v>
      </c>
      <c r="N115" s="91">
        <v>136.68491756670599</v>
      </c>
      <c r="O115" s="91">
        <v>141.50425893613999</v>
      </c>
      <c r="P115" s="91">
        <v>118.869132646116</v>
      </c>
      <c r="Q115" s="91">
        <v>172.52472336596901</v>
      </c>
      <c r="R115" s="91">
        <v>140.507655828368</v>
      </c>
      <c r="S115" s="91">
        <v>134.448023639648</v>
      </c>
      <c r="T115" s="91">
        <v>122.95612709029901</v>
      </c>
      <c r="U115" s="91">
        <v>181.49639627933001</v>
      </c>
      <c r="V115" s="91">
        <v>147.41988710602701</v>
      </c>
      <c r="W115" s="91">
        <v>155.53516832288199</v>
      </c>
      <c r="X115" s="91">
        <v>68.049252728498004</v>
      </c>
      <c r="Y115" s="91">
        <v>144.32230783857301</v>
      </c>
      <c r="Z115" s="91">
        <v>120.273532988818</v>
      </c>
      <c r="AA115" s="91">
        <v>116.12557616594199</v>
      </c>
      <c r="AB115" s="91">
        <v>85.888408513875007</v>
      </c>
      <c r="AC115" s="91">
        <v>168.65690524246</v>
      </c>
      <c r="AD115" s="91">
        <v>124.121543344294</v>
      </c>
      <c r="AE115" s="91">
        <v>131.27955527949501</v>
      </c>
      <c r="AF115" s="91">
        <v>71.980700573178694</v>
      </c>
      <c r="AG115" s="91">
        <v>230.69003745552601</v>
      </c>
      <c r="AH115" s="91">
        <v>127.648949399239</v>
      </c>
      <c r="AI115" s="91">
        <v>124.098490663397</v>
      </c>
      <c r="AJ115" s="91">
        <v>105.57384905697199</v>
      </c>
      <c r="AK115" s="91">
        <v>176.888664193371</v>
      </c>
      <c r="AL115" s="91">
        <v>147.99710855657301</v>
      </c>
      <c r="AM115" s="91">
        <v>154.309495457488</v>
      </c>
    </row>
    <row r="116" spans="2:39">
      <c r="B116" s="91" t="s">
        <v>1016</v>
      </c>
      <c r="C116" s="91" t="s">
        <v>1026</v>
      </c>
      <c r="D116" s="91" t="s">
        <v>310</v>
      </c>
      <c r="E116" s="91" t="s">
        <v>244</v>
      </c>
      <c r="F116" s="18" t="s">
        <v>1023</v>
      </c>
      <c r="G116" s="91">
        <f t="shared" si="2"/>
        <v>148.20904486955968</v>
      </c>
      <c r="H116" s="91">
        <v>96.274062664239395</v>
      </c>
      <c r="I116" s="91">
        <v>185.941649449408</v>
      </c>
      <c r="J116" s="91">
        <v>139.623868247069</v>
      </c>
      <c r="K116" s="91">
        <v>138.00617351294599</v>
      </c>
      <c r="L116" s="91">
        <v>100.45782183518899</v>
      </c>
      <c r="M116" s="91">
        <v>200.08520777023199</v>
      </c>
      <c r="N116" s="91">
        <v>144.285345772803</v>
      </c>
      <c r="O116" s="91">
        <v>155.73857354754799</v>
      </c>
      <c r="P116" s="91">
        <v>125.871717548692</v>
      </c>
      <c r="Q116" s="91">
        <v>180.69722681338601</v>
      </c>
      <c r="R116" s="91">
        <v>148.680159275785</v>
      </c>
      <c r="S116" s="91">
        <v>142.048451845746</v>
      </c>
      <c r="T116" s="91">
        <v>136.615927057411</v>
      </c>
      <c r="U116" s="91">
        <v>189.66889972674699</v>
      </c>
      <c r="V116" s="91">
        <v>155.59239055344301</v>
      </c>
      <c r="W116" s="91">
        <v>163.13559652897899</v>
      </c>
      <c r="X116" s="91">
        <v>69.770699542207296</v>
      </c>
      <c r="Y116" s="91">
        <v>151.92273604467101</v>
      </c>
      <c r="Z116" s="91">
        <v>133.82673356999501</v>
      </c>
      <c r="AA116" s="91">
        <v>124.685043983623</v>
      </c>
      <c r="AB116" s="91">
        <v>94.060911961291694</v>
      </c>
      <c r="AC116" s="91">
        <v>176.829408689876</v>
      </c>
      <c r="AD116" s="91">
        <v>138.00617351294599</v>
      </c>
      <c r="AE116" s="91">
        <v>145.48394483356699</v>
      </c>
      <c r="AF116" s="91">
        <v>104.71035726208</v>
      </c>
      <c r="AG116" s="91">
        <v>238.86254090294301</v>
      </c>
      <c r="AH116" s="91">
        <v>138.82633797677701</v>
      </c>
      <c r="AI116" s="91">
        <v>137.516134950549</v>
      </c>
      <c r="AJ116" s="91">
        <v>119.846434005641</v>
      </c>
      <c r="AK116" s="91">
        <v>185.061167640788</v>
      </c>
      <c r="AL116" s="91">
        <v>155.59753676266999</v>
      </c>
      <c r="AM116" s="91">
        <v>161.909923663586</v>
      </c>
    </row>
    <row r="117" spans="2:39">
      <c r="B117" s="91" t="s">
        <v>1016</v>
      </c>
      <c r="C117" s="91" t="s">
        <v>1026</v>
      </c>
      <c r="D117" s="91" t="s">
        <v>310</v>
      </c>
      <c r="E117" s="91" t="s">
        <v>244</v>
      </c>
      <c r="F117" s="18" t="s">
        <v>1024</v>
      </c>
      <c r="G117" s="91">
        <f t="shared" si="2"/>
        <v>128.66836850000428</v>
      </c>
      <c r="H117" s="91">
        <v>80.728080647100697</v>
      </c>
      <c r="I117" s="91">
        <v>165.78363691846499</v>
      </c>
      <c r="J117" s="91">
        <v>119.43374282763</v>
      </c>
      <c r="K117" s="91">
        <v>116.864892223626</v>
      </c>
      <c r="L117" s="91">
        <v>85.318555927931996</v>
      </c>
      <c r="M117" s="91">
        <v>179.92719523928901</v>
      </c>
      <c r="N117" s="91">
        <v>125.53839411902599</v>
      </c>
      <c r="O117" s="91">
        <v>117.799541004383</v>
      </c>
      <c r="P117" s="91">
        <v>109.808320211194</v>
      </c>
      <c r="Q117" s="91">
        <v>160.539214282443</v>
      </c>
      <c r="R117" s="91">
        <v>134.04110960225401</v>
      </c>
      <c r="S117" s="91">
        <v>123.301500191969</v>
      </c>
      <c r="T117" s="91">
        <v>115.606951749218</v>
      </c>
      <c r="U117" s="91">
        <v>169.510887195804</v>
      </c>
      <c r="V117" s="91">
        <v>135.4343780225</v>
      </c>
      <c r="W117" s="91">
        <v>143.61755258974301</v>
      </c>
      <c r="X117" s="91">
        <v>68.082446317393703</v>
      </c>
      <c r="Y117" s="91">
        <v>133.17578439089399</v>
      </c>
      <c r="Z117" s="91">
        <v>115.606951749218</v>
      </c>
      <c r="AA117" s="91">
        <v>107.863471897643</v>
      </c>
      <c r="AB117" s="91">
        <v>76.086120507108305</v>
      </c>
      <c r="AC117" s="91">
        <v>156.67139615893299</v>
      </c>
      <c r="AD117" s="91">
        <v>117.799541004383</v>
      </c>
      <c r="AE117" s="91">
        <v>126.73699317979001</v>
      </c>
      <c r="AF117" s="91">
        <v>85.963405608302594</v>
      </c>
      <c r="AG117" s="91">
        <v>218.704528372</v>
      </c>
      <c r="AH117" s="91">
        <v>120.079386322999</v>
      </c>
      <c r="AI117" s="91">
        <v>116.780572911433</v>
      </c>
      <c r="AJ117" s="91">
        <v>115.606951749218</v>
      </c>
      <c r="AK117" s="91">
        <v>169.510887195804</v>
      </c>
      <c r="AL117" s="91">
        <v>136.850585108893</v>
      </c>
      <c r="AM117" s="91">
        <v>143.16297200980799</v>
      </c>
    </row>
    <row r="118" spans="2:39">
      <c r="B118" s="91" t="s">
        <v>1016</v>
      </c>
      <c r="C118" s="91" t="s">
        <v>1026</v>
      </c>
      <c r="D118" s="91" t="s">
        <v>1025</v>
      </c>
      <c r="E118" s="91" t="s">
        <v>244</v>
      </c>
      <c r="F118" s="18" t="s">
        <v>1017</v>
      </c>
      <c r="G118" s="91">
        <v>62.474018124536997</v>
      </c>
    </row>
    <row r="119" spans="2:39">
      <c r="B119" s="91" t="s">
        <v>1016</v>
      </c>
      <c r="C119" s="91" t="s">
        <v>1026</v>
      </c>
      <c r="D119" s="91" t="s">
        <v>1025</v>
      </c>
      <c r="E119" s="91" t="s">
        <v>244</v>
      </c>
      <c r="F119" s="18" t="s">
        <v>1018</v>
      </c>
      <c r="G119" s="91">
        <v>60.132703965391798</v>
      </c>
    </row>
    <row r="120" spans="2:39">
      <c r="B120" s="91" t="s">
        <v>1016</v>
      </c>
      <c r="C120" s="91" t="s">
        <v>1026</v>
      </c>
      <c r="D120" s="91" t="s">
        <v>1025</v>
      </c>
      <c r="E120" s="91" t="s">
        <v>244</v>
      </c>
      <c r="F120" s="18" t="s">
        <v>1019</v>
      </c>
      <c r="G120" s="91">
        <v>82.100677011165402</v>
      </c>
    </row>
    <row r="121" spans="2:39">
      <c r="B121" s="91" t="s">
        <v>1016</v>
      </c>
      <c r="C121" s="91" t="s">
        <v>1026</v>
      </c>
      <c r="D121" s="91" t="s">
        <v>1025</v>
      </c>
      <c r="E121" s="91" t="s">
        <v>244</v>
      </c>
      <c r="F121" s="18" t="s">
        <v>1020</v>
      </c>
      <c r="G121" s="91">
        <v>94.893022338217406</v>
      </c>
    </row>
    <row r="122" spans="2:39">
      <c r="B122" s="91" t="s">
        <v>1016</v>
      </c>
      <c r="C122" s="91" t="s">
        <v>1026</v>
      </c>
      <c r="D122" s="91" t="s">
        <v>1025</v>
      </c>
      <c r="E122" s="91" t="s">
        <v>244</v>
      </c>
      <c r="F122" s="18" t="s">
        <v>1021</v>
      </c>
      <c r="G122" s="91">
        <v>107.07647853876</v>
      </c>
    </row>
    <row r="123" spans="2:39">
      <c r="B123" s="91" t="s">
        <v>1016</v>
      </c>
      <c r="C123" s="91" t="s">
        <v>1026</v>
      </c>
      <c r="D123" s="91" t="s">
        <v>1025</v>
      </c>
      <c r="E123" s="91" t="s">
        <v>244</v>
      </c>
      <c r="F123" s="18" t="s">
        <v>1022</v>
      </c>
      <c r="G123" s="91">
        <v>116.17622969372199</v>
      </c>
    </row>
    <row r="124" spans="2:39">
      <c r="B124" s="91" t="s">
        <v>1016</v>
      </c>
      <c r="C124" s="91" t="s">
        <v>1026</v>
      </c>
      <c r="D124" s="91" t="s">
        <v>1025</v>
      </c>
      <c r="E124" s="91" t="s">
        <v>244</v>
      </c>
      <c r="F124" s="18" t="s">
        <v>1023</v>
      </c>
      <c r="G124" s="91">
        <v>125.265301729638</v>
      </c>
    </row>
    <row r="125" spans="2:39">
      <c r="B125" s="91" t="s">
        <v>1016</v>
      </c>
      <c r="C125" s="91" t="s">
        <v>1026</v>
      </c>
      <c r="D125" s="91" t="s">
        <v>1025</v>
      </c>
      <c r="E125" s="91" t="s">
        <v>244</v>
      </c>
      <c r="F125" s="18" t="s">
        <v>1024</v>
      </c>
      <c r="G125" s="91">
        <v>127.62915842520999</v>
      </c>
    </row>
    <row r="126" spans="2:39">
      <c r="B126" s="91" t="s">
        <v>1016</v>
      </c>
      <c r="C126" s="91" t="s">
        <v>1026</v>
      </c>
      <c r="D126" s="91" t="s">
        <v>311</v>
      </c>
      <c r="E126" s="91" t="s">
        <v>244</v>
      </c>
      <c r="F126" s="18" t="s">
        <v>1017</v>
      </c>
      <c r="G126" s="91">
        <f t="shared" ref="G126:G133" si="3">SUMPRODUCT(H126:AM126,$H$5:$AM$5)</f>
        <v>141.7154289677799</v>
      </c>
      <c r="H126" s="91">
        <v>61.7871512199779</v>
      </c>
      <c r="I126" s="91">
        <v>59.442888199371701</v>
      </c>
      <c r="J126" s="91">
        <v>59.442888199371701</v>
      </c>
      <c r="K126" s="91">
        <v>59.442888199371701</v>
      </c>
      <c r="L126" s="91">
        <v>61.678671041504998</v>
      </c>
      <c r="M126" s="91">
        <v>59.442888199371701</v>
      </c>
      <c r="N126" s="91">
        <v>59.442888199371701</v>
      </c>
      <c r="O126" s="91">
        <v>59.442888199371701</v>
      </c>
      <c r="P126" s="91">
        <v>59.442888199371701</v>
      </c>
      <c r="Q126" s="91">
        <v>59.442888199371701</v>
      </c>
      <c r="R126" s="91">
        <v>59.442888199371701</v>
      </c>
      <c r="S126" s="91">
        <v>59.442888199371701</v>
      </c>
      <c r="T126" s="91">
        <v>59.442888199371701</v>
      </c>
      <c r="U126" s="91">
        <v>59.442888199371701</v>
      </c>
      <c r="V126" s="91">
        <v>59.442888199371701</v>
      </c>
      <c r="W126" s="91">
        <v>1076.8682534038301</v>
      </c>
      <c r="X126" s="91">
        <v>61.894580080209202</v>
      </c>
      <c r="Y126" s="91">
        <v>59.442888199371701</v>
      </c>
      <c r="Z126" s="91">
        <v>59.692968235128603</v>
      </c>
      <c r="AA126" s="91">
        <v>59.442888199371701</v>
      </c>
      <c r="AB126" s="91">
        <v>60.906438963840003</v>
      </c>
      <c r="AC126" s="91">
        <v>59.442888199371701</v>
      </c>
      <c r="AD126" s="91">
        <v>59.442888199371701</v>
      </c>
      <c r="AE126" s="91">
        <v>59.442888199371701</v>
      </c>
      <c r="AF126" s="91">
        <v>60.420920922094403</v>
      </c>
      <c r="AG126" s="91">
        <v>59.442888199371701</v>
      </c>
      <c r="AH126" s="91">
        <v>59.442888199371701</v>
      </c>
      <c r="AI126" s="91">
        <v>59.442888199371701</v>
      </c>
      <c r="AJ126" s="91">
        <v>59.442888199371701</v>
      </c>
      <c r="AK126" s="91">
        <v>59.442888199371701</v>
      </c>
      <c r="AL126" s="91">
        <v>59.442888199371701</v>
      </c>
      <c r="AM126" s="91">
        <v>59.442888199371701</v>
      </c>
    </row>
    <row r="127" spans="2:39">
      <c r="B127" s="91" t="s">
        <v>1016</v>
      </c>
      <c r="C127" s="91" t="s">
        <v>1026</v>
      </c>
      <c r="D127" s="91" t="s">
        <v>311</v>
      </c>
      <c r="E127" s="91" t="s">
        <v>244</v>
      </c>
      <c r="F127" s="18" t="s">
        <v>1018</v>
      </c>
      <c r="G127" s="91">
        <f t="shared" si="3"/>
        <v>93.775743444788787</v>
      </c>
      <c r="H127" s="91">
        <v>87.693610801329399</v>
      </c>
      <c r="I127" s="91">
        <v>82.398319081455895</v>
      </c>
      <c r="J127" s="91">
        <v>82.398319081455796</v>
      </c>
      <c r="K127" s="91">
        <v>82.398319081455895</v>
      </c>
      <c r="L127" s="91">
        <v>87.277099654507396</v>
      </c>
      <c r="M127" s="91">
        <v>82.398319081455895</v>
      </c>
      <c r="N127" s="91">
        <v>413.59189240914901</v>
      </c>
      <c r="O127" s="91">
        <v>82.398319081455895</v>
      </c>
      <c r="P127" s="91">
        <v>82.487314561627201</v>
      </c>
      <c r="Q127" s="91">
        <v>82.398319081455895</v>
      </c>
      <c r="R127" s="91">
        <v>82.398319081455895</v>
      </c>
      <c r="S127" s="91">
        <v>82.398319081455895</v>
      </c>
      <c r="T127" s="91">
        <v>82.398319081455895</v>
      </c>
      <c r="U127" s="91">
        <v>82.398319081455895</v>
      </c>
      <c r="V127" s="91">
        <v>82.398319081455895</v>
      </c>
      <c r="W127" s="91">
        <v>82.398319081455895</v>
      </c>
      <c r="X127" s="91">
        <v>86.125706429330904</v>
      </c>
      <c r="Y127" s="91">
        <v>82.398319081455895</v>
      </c>
      <c r="Z127" s="91">
        <v>82.398319081455895</v>
      </c>
      <c r="AA127" s="91">
        <v>82.701110806048305</v>
      </c>
      <c r="AB127" s="91">
        <v>85.977237940038293</v>
      </c>
      <c r="AC127" s="91">
        <v>82.398319081455895</v>
      </c>
      <c r="AD127" s="91">
        <v>82.398319081455895</v>
      </c>
      <c r="AE127" s="91">
        <v>82.398319081455895</v>
      </c>
      <c r="AF127" s="91">
        <v>85.731808450552194</v>
      </c>
      <c r="AG127" s="91">
        <v>82.398319081455895</v>
      </c>
      <c r="AH127" s="91">
        <v>82.398319081455895</v>
      </c>
      <c r="AI127" s="91">
        <v>82.398319081455796</v>
      </c>
      <c r="AJ127" s="91">
        <v>82.398319081455895</v>
      </c>
      <c r="AK127" s="91">
        <v>82.398319081455895</v>
      </c>
      <c r="AL127" s="91">
        <v>67.297811962312906</v>
      </c>
      <c r="AM127" s="91">
        <v>82.398319081455895</v>
      </c>
    </row>
    <row r="128" spans="2:39">
      <c r="B128" s="91" t="s">
        <v>1016</v>
      </c>
      <c r="C128" s="91" t="s">
        <v>1026</v>
      </c>
      <c r="D128" s="91" t="s">
        <v>311</v>
      </c>
      <c r="E128" s="91" t="s">
        <v>244</v>
      </c>
      <c r="F128" s="18" t="s">
        <v>1019</v>
      </c>
      <c r="G128" s="91">
        <f t="shared" si="3"/>
        <v>140.61951477843101</v>
      </c>
      <c r="H128" s="91">
        <v>140.61951477843101</v>
      </c>
      <c r="I128" s="91">
        <v>140.61951477843101</v>
      </c>
      <c r="J128" s="91">
        <v>140.61951477843101</v>
      </c>
      <c r="K128" s="91">
        <v>140.61951477843101</v>
      </c>
      <c r="L128" s="91">
        <v>140.61951477843101</v>
      </c>
      <c r="M128" s="91">
        <v>140.61951477843101</v>
      </c>
      <c r="N128" s="91">
        <v>140.61951477843101</v>
      </c>
      <c r="O128" s="91">
        <v>140.61951477843101</v>
      </c>
      <c r="P128" s="91">
        <v>140.61951477843101</v>
      </c>
      <c r="Q128" s="91">
        <v>140.61951477843101</v>
      </c>
      <c r="R128" s="91">
        <v>140.61951477843101</v>
      </c>
      <c r="S128" s="91">
        <v>140.61951477843101</v>
      </c>
      <c r="T128" s="91">
        <v>140.61951477843101</v>
      </c>
      <c r="U128" s="91">
        <v>140.61951477843101</v>
      </c>
      <c r="V128" s="91">
        <v>140.61951477843101</v>
      </c>
      <c r="W128" s="91">
        <v>140.61951477843101</v>
      </c>
      <c r="X128" s="91">
        <v>140.61951477843101</v>
      </c>
      <c r="Y128" s="91">
        <v>140.61951477843101</v>
      </c>
      <c r="Z128" s="91">
        <v>140.61951477843101</v>
      </c>
      <c r="AA128" s="91">
        <v>140.61951477843101</v>
      </c>
      <c r="AB128" s="91">
        <v>140.61951477843101</v>
      </c>
      <c r="AC128" s="91">
        <v>140.61951477843101</v>
      </c>
      <c r="AD128" s="91">
        <v>140.61951477843101</v>
      </c>
      <c r="AE128" s="91">
        <v>140.61951477843101</v>
      </c>
      <c r="AF128" s="91">
        <v>140.61951477843101</v>
      </c>
      <c r="AG128" s="91">
        <v>140.61951477843101</v>
      </c>
      <c r="AH128" s="91">
        <v>140.61951477843101</v>
      </c>
      <c r="AI128" s="91">
        <v>140.61951477843101</v>
      </c>
      <c r="AJ128" s="91">
        <v>140.61951477843101</v>
      </c>
      <c r="AK128" s="91">
        <v>140.61951477843101</v>
      </c>
      <c r="AL128" s="91">
        <v>140.61951477843101</v>
      </c>
      <c r="AM128" s="91">
        <v>140.61951477843101</v>
      </c>
    </row>
    <row r="129" spans="2:39">
      <c r="B129" s="91" t="s">
        <v>1016</v>
      </c>
      <c r="C129" s="91" t="s">
        <v>1026</v>
      </c>
      <c r="D129" s="91" t="s">
        <v>311</v>
      </c>
      <c r="E129" s="91" t="s">
        <v>244</v>
      </c>
      <c r="F129" s="18" t="s">
        <v>1020</v>
      </c>
      <c r="G129" s="91">
        <f t="shared" si="3"/>
        <v>129.04863620340649</v>
      </c>
      <c r="H129" s="91">
        <v>129.04863620340601</v>
      </c>
      <c r="I129" s="91">
        <v>129.04863620340601</v>
      </c>
      <c r="J129" s="91">
        <v>129.04863620340601</v>
      </c>
      <c r="K129" s="91">
        <v>129.04863620340601</v>
      </c>
      <c r="L129" s="91">
        <v>129.048636203407</v>
      </c>
      <c r="M129" s="91">
        <v>129.048636203407</v>
      </c>
      <c r="N129" s="91">
        <v>129.04863620340601</v>
      </c>
      <c r="O129" s="91">
        <v>129.048636203407</v>
      </c>
      <c r="P129" s="91">
        <v>129.04863620340601</v>
      </c>
      <c r="Q129" s="91">
        <v>129.04863620340601</v>
      </c>
      <c r="R129" s="91">
        <v>129.04863620340601</v>
      </c>
      <c r="S129" s="91">
        <v>129.04863620340601</v>
      </c>
      <c r="T129" s="91">
        <v>129.04863620340601</v>
      </c>
      <c r="U129" s="91">
        <v>129.048636203407</v>
      </c>
      <c r="V129" s="91">
        <v>129.04863620340601</v>
      </c>
      <c r="W129" s="91">
        <v>129.048636203407</v>
      </c>
      <c r="X129" s="91">
        <v>129.04863620340601</v>
      </c>
      <c r="Y129" s="91">
        <v>129.04863620340601</v>
      </c>
      <c r="Z129" s="91">
        <v>129.04863620340601</v>
      </c>
      <c r="AA129" s="91">
        <v>129.048636203407</v>
      </c>
      <c r="AB129" s="91">
        <v>129.04863620340601</v>
      </c>
      <c r="AC129" s="91">
        <v>129.048636203407</v>
      </c>
      <c r="AD129" s="91">
        <v>129.04863620340601</v>
      </c>
      <c r="AE129" s="91">
        <v>129.048636203407</v>
      </c>
      <c r="AF129" s="91">
        <v>129.04863620340601</v>
      </c>
      <c r="AG129" s="91">
        <v>129.048636203407</v>
      </c>
      <c r="AH129" s="91">
        <v>129.048636203407</v>
      </c>
      <c r="AI129" s="91">
        <v>129.048636203407</v>
      </c>
      <c r="AJ129" s="91">
        <v>129.04863620340601</v>
      </c>
      <c r="AK129" s="91">
        <v>129.04863620340601</v>
      </c>
      <c r="AL129" s="91">
        <v>129.048636203407</v>
      </c>
      <c r="AM129" s="91">
        <v>129.04863620340601</v>
      </c>
    </row>
    <row r="130" spans="2:39">
      <c r="B130" s="91" t="s">
        <v>1016</v>
      </c>
      <c r="C130" s="91" t="s">
        <v>1026</v>
      </c>
      <c r="D130" s="91" t="s">
        <v>311</v>
      </c>
      <c r="E130" s="91" t="s">
        <v>244</v>
      </c>
      <c r="F130" s="18" t="s">
        <v>1021</v>
      </c>
      <c r="G130" s="91">
        <f t="shared" si="3"/>
        <v>113.27145747825901</v>
      </c>
      <c r="H130" s="91">
        <v>113.27145747825899</v>
      </c>
      <c r="I130" s="91">
        <v>113.27145747825899</v>
      </c>
      <c r="J130" s="91">
        <v>113.27145747825899</v>
      </c>
      <c r="K130" s="91">
        <v>113.27145747825899</v>
      </c>
      <c r="L130" s="91">
        <v>113.27145747825899</v>
      </c>
      <c r="M130" s="91">
        <v>113.27145747825899</v>
      </c>
      <c r="N130" s="91">
        <v>113.27145747825899</v>
      </c>
      <c r="O130" s="91">
        <v>113.27145747825899</v>
      </c>
      <c r="P130" s="91">
        <v>113.27145747825899</v>
      </c>
      <c r="Q130" s="91">
        <v>113.27145747825899</v>
      </c>
      <c r="R130" s="91">
        <v>113.27145747825899</v>
      </c>
      <c r="S130" s="91">
        <v>113.27145747825899</v>
      </c>
      <c r="T130" s="91">
        <v>113.27145747825899</v>
      </c>
      <c r="U130" s="91">
        <v>113.27145747825899</v>
      </c>
      <c r="V130" s="91">
        <v>113.27145747825899</v>
      </c>
      <c r="W130" s="91">
        <v>113.27145747825899</v>
      </c>
      <c r="X130" s="91">
        <v>113.27145747825899</v>
      </c>
      <c r="Y130" s="91">
        <v>113.27145747825899</v>
      </c>
      <c r="Z130" s="91">
        <v>113.27145747825899</v>
      </c>
      <c r="AA130" s="91">
        <v>113.27145747825899</v>
      </c>
      <c r="AB130" s="91">
        <v>113.27145747825899</v>
      </c>
      <c r="AC130" s="91">
        <v>113.27145747825899</v>
      </c>
      <c r="AD130" s="91">
        <v>113.27145747825899</v>
      </c>
      <c r="AE130" s="91">
        <v>113.27145747825899</v>
      </c>
      <c r="AF130" s="91">
        <v>113.27145747825899</v>
      </c>
      <c r="AG130" s="91">
        <v>113.27145747825899</v>
      </c>
      <c r="AH130" s="91">
        <v>113.27145747825899</v>
      </c>
      <c r="AI130" s="91">
        <v>113.27145747825899</v>
      </c>
      <c r="AJ130" s="91">
        <v>113.27145747825899</v>
      </c>
      <c r="AK130" s="91">
        <v>113.27145747825899</v>
      </c>
      <c r="AL130" s="91">
        <v>113.27145747825899</v>
      </c>
      <c r="AM130" s="91">
        <v>113.27145747825899</v>
      </c>
    </row>
    <row r="131" spans="2:39">
      <c r="B131" s="91" t="s">
        <v>1016</v>
      </c>
      <c r="C131" s="91" t="s">
        <v>1026</v>
      </c>
      <c r="D131" s="91" t="s">
        <v>311</v>
      </c>
      <c r="E131" s="91" t="s">
        <v>244</v>
      </c>
      <c r="F131" s="18" t="s">
        <v>1022</v>
      </c>
      <c r="G131" s="91">
        <f t="shared" si="3"/>
        <v>104.70428272239199</v>
      </c>
      <c r="H131" s="91">
        <v>104.70428272239199</v>
      </c>
      <c r="I131" s="91">
        <v>104.70428272239199</v>
      </c>
      <c r="J131" s="91">
        <v>104.70428272239199</v>
      </c>
      <c r="K131" s="91">
        <v>104.70428272239199</v>
      </c>
      <c r="L131" s="91">
        <v>104.70428272239199</v>
      </c>
      <c r="M131" s="91">
        <v>104.70428272239199</v>
      </c>
      <c r="N131" s="91">
        <v>104.70428272239199</v>
      </c>
      <c r="O131" s="91">
        <v>104.70428272239199</v>
      </c>
      <c r="P131" s="91">
        <v>104.70428272239199</v>
      </c>
      <c r="Q131" s="91">
        <v>104.70428272239199</v>
      </c>
      <c r="R131" s="91">
        <v>104.70428272239199</v>
      </c>
      <c r="S131" s="91">
        <v>104.70428272239199</v>
      </c>
      <c r="T131" s="91">
        <v>104.70428272239199</v>
      </c>
      <c r="U131" s="91">
        <v>104.70428272239199</v>
      </c>
      <c r="V131" s="91">
        <v>104.70428272239199</v>
      </c>
      <c r="W131" s="91">
        <v>104.70428272239199</v>
      </c>
      <c r="X131" s="91">
        <v>104.70428272239199</v>
      </c>
      <c r="Y131" s="91">
        <v>104.70428272239199</v>
      </c>
      <c r="Z131" s="91">
        <v>104.70428272239199</v>
      </c>
      <c r="AA131" s="91">
        <v>104.70428272239199</v>
      </c>
      <c r="AB131" s="91">
        <v>104.70428272239199</v>
      </c>
      <c r="AC131" s="91">
        <v>104.70428272239199</v>
      </c>
      <c r="AD131" s="91">
        <v>104.70428272239199</v>
      </c>
      <c r="AE131" s="91">
        <v>104.70428272239199</v>
      </c>
      <c r="AF131" s="91">
        <v>104.70428272239199</v>
      </c>
      <c r="AG131" s="91">
        <v>104.70428272239199</v>
      </c>
      <c r="AH131" s="91">
        <v>104.70428272239199</v>
      </c>
      <c r="AI131" s="91">
        <v>104.70428272239199</v>
      </c>
      <c r="AJ131" s="91">
        <v>104.70428272239199</v>
      </c>
      <c r="AK131" s="91">
        <v>104.70428272239199</v>
      </c>
      <c r="AL131" s="91">
        <v>104.70428272239199</v>
      </c>
      <c r="AM131" s="91">
        <v>104.70428272239199</v>
      </c>
    </row>
    <row r="132" spans="2:39">
      <c r="B132" s="91" t="s">
        <v>1016</v>
      </c>
      <c r="C132" s="91" t="s">
        <v>1026</v>
      </c>
      <c r="D132" s="91" t="s">
        <v>311</v>
      </c>
      <c r="E132" s="91" t="s">
        <v>244</v>
      </c>
      <c r="F132" s="18" t="s">
        <v>1023</v>
      </c>
      <c r="G132" s="91">
        <f t="shared" si="3"/>
        <v>115.0145755437739</v>
      </c>
      <c r="H132" s="91">
        <v>115.014575543774</v>
      </c>
      <c r="I132" s="91">
        <v>115.014575543774</v>
      </c>
      <c r="J132" s="91">
        <v>115.014575543774</v>
      </c>
      <c r="K132" s="91">
        <v>115.014575543774</v>
      </c>
      <c r="L132" s="91">
        <v>115.014575543774</v>
      </c>
      <c r="M132" s="91">
        <v>115.014575543774</v>
      </c>
      <c r="N132" s="91">
        <v>115.014575543774</v>
      </c>
      <c r="O132" s="91">
        <v>115.014575543774</v>
      </c>
      <c r="P132" s="91">
        <v>115.014575543774</v>
      </c>
      <c r="Q132" s="91">
        <v>115.014575543774</v>
      </c>
      <c r="R132" s="91">
        <v>115.014575543774</v>
      </c>
      <c r="S132" s="91">
        <v>115.014575543774</v>
      </c>
      <c r="T132" s="91">
        <v>115.014575543774</v>
      </c>
      <c r="U132" s="91">
        <v>115.014575543774</v>
      </c>
      <c r="V132" s="91">
        <v>115.014575543774</v>
      </c>
      <c r="W132" s="91">
        <v>115.014575543774</v>
      </c>
      <c r="X132" s="91">
        <v>115.014575543774</v>
      </c>
      <c r="Y132" s="91">
        <v>115.014575543774</v>
      </c>
      <c r="Z132" s="91">
        <v>115.014575543774</v>
      </c>
      <c r="AA132" s="91">
        <v>115.01457554377301</v>
      </c>
      <c r="AB132" s="91">
        <v>115.014575543774</v>
      </c>
      <c r="AC132" s="91">
        <v>115.014575543774</v>
      </c>
      <c r="AD132" s="91">
        <v>115.014575543774</v>
      </c>
      <c r="AE132" s="91">
        <v>115.014575543774</v>
      </c>
      <c r="AF132" s="91">
        <v>115.014575543774</v>
      </c>
      <c r="AG132" s="91">
        <v>115.01457554377301</v>
      </c>
      <c r="AH132" s="91">
        <v>115.014575543774</v>
      </c>
      <c r="AI132" s="91">
        <v>115.01457554377301</v>
      </c>
      <c r="AJ132" s="91">
        <v>115.014575543774</v>
      </c>
      <c r="AK132" s="91">
        <v>115.014575543774</v>
      </c>
      <c r="AL132" s="91">
        <v>115.014575543774</v>
      </c>
      <c r="AM132" s="91">
        <v>115.01457554377301</v>
      </c>
    </row>
    <row r="133" spans="2:39">
      <c r="B133" s="91" t="s">
        <v>1016</v>
      </c>
      <c r="C133" s="91" t="s">
        <v>1026</v>
      </c>
      <c r="D133" s="91" t="s">
        <v>311</v>
      </c>
      <c r="E133" s="91" t="s">
        <v>244</v>
      </c>
      <c r="F133" s="18" t="s">
        <v>1024</v>
      </c>
      <c r="G133" s="91">
        <f t="shared" si="3"/>
        <v>95.01693944032499</v>
      </c>
      <c r="H133" s="91">
        <v>95.016939440325004</v>
      </c>
      <c r="I133" s="91">
        <v>95.016939440325004</v>
      </c>
      <c r="J133" s="91">
        <v>95.016939440325004</v>
      </c>
      <c r="K133" s="91">
        <v>95.016939440325004</v>
      </c>
      <c r="L133" s="91">
        <v>95.016939440325004</v>
      </c>
      <c r="M133" s="91">
        <v>95.016939440325004</v>
      </c>
      <c r="N133" s="91">
        <v>95.016939440324904</v>
      </c>
      <c r="O133" s="91">
        <v>95.016939440325004</v>
      </c>
      <c r="P133" s="91">
        <v>95.016939440325004</v>
      </c>
      <c r="Q133" s="91">
        <v>95.016939440325004</v>
      </c>
      <c r="R133" s="91">
        <v>95.016939440325004</v>
      </c>
      <c r="S133" s="91">
        <v>95.016939440324904</v>
      </c>
      <c r="T133" s="91">
        <v>95.016939440325004</v>
      </c>
      <c r="U133" s="91">
        <v>95.016939440325004</v>
      </c>
      <c r="V133" s="91">
        <v>95.016939440325004</v>
      </c>
      <c r="W133" s="91">
        <v>95.016939440325004</v>
      </c>
      <c r="X133" s="91">
        <v>95.016939440325004</v>
      </c>
      <c r="Y133" s="91">
        <v>95.016939440325004</v>
      </c>
      <c r="Z133" s="91">
        <v>95.016939440325004</v>
      </c>
      <c r="AA133" s="91">
        <v>95.016939440325004</v>
      </c>
      <c r="AB133" s="91">
        <v>95.016939440325004</v>
      </c>
      <c r="AC133" s="91">
        <v>95.016939440325004</v>
      </c>
      <c r="AD133" s="91">
        <v>95.016939440325004</v>
      </c>
      <c r="AE133" s="91">
        <v>95.016939440325004</v>
      </c>
      <c r="AF133" s="91">
        <v>95.016939440325004</v>
      </c>
      <c r="AG133" s="91">
        <v>95.016939440325004</v>
      </c>
      <c r="AH133" s="91">
        <v>95.016939440325004</v>
      </c>
      <c r="AI133" s="91">
        <v>95.016939440325004</v>
      </c>
      <c r="AJ133" s="91">
        <v>95.016939440325004</v>
      </c>
      <c r="AK133" s="91">
        <v>95.016939440325004</v>
      </c>
      <c r="AL133" s="91">
        <v>95.016939440324904</v>
      </c>
      <c r="AM133" s="91">
        <v>95.016939440325004</v>
      </c>
    </row>
    <row r="134" spans="2:39">
      <c r="B134" s="91" t="s">
        <v>1016</v>
      </c>
      <c r="C134" s="91" t="s">
        <v>1027</v>
      </c>
      <c r="D134" s="91" t="s">
        <v>23</v>
      </c>
      <c r="E134" s="91" t="s">
        <v>244</v>
      </c>
      <c r="F134" s="18" t="s">
        <v>1017</v>
      </c>
      <c r="G134" s="91">
        <v>75.693760604347702</v>
      </c>
    </row>
    <row r="135" spans="2:39">
      <c r="B135" s="91" t="s">
        <v>1016</v>
      </c>
      <c r="C135" s="91" t="s">
        <v>1027</v>
      </c>
      <c r="D135" s="91" t="s">
        <v>23</v>
      </c>
      <c r="E135" s="91" t="s">
        <v>244</v>
      </c>
      <c r="F135" s="18" t="s">
        <v>1018</v>
      </c>
      <c r="G135" s="91">
        <v>78.382275231588395</v>
      </c>
    </row>
    <row r="136" spans="2:39">
      <c r="B136" s="91" t="s">
        <v>1016</v>
      </c>
      <c r="C136" s="91" t="s">
        <v>1027</v>
      </c>
      <c r="D136" s="91" t="s">
        <v>23</v>
      </c>
      <c r="E136" s="91" t="s">
        <v>244</v>
      </c>
      <c r="F136" s="18" t="s">
        <v>1019</v>
      </c>
      <c r="G136" s="91">
        <v>82.003735248225297</v>
      </c>
    </row>
    <row r="137" spans="2:39">
      <c r="B137" s="91" t="s">
        <v>1016</v>
      </c>
      <c r="C137" s="91" t="s">
        <v>1027</v>
      </c>
      <c r="D137" s="91" t="s">
        <v>23</v>
      </c>
      <c r="E137" s="91" t="s">
        <v>244</v>
      </c>
      <c r="F137" s="18" t="s">
        <v>1020</v>
      </c>
      <c r="G137" s="91">
        <v>84.679397843076202</v>
      </c>
    </row>
    <row r="138" spans="2:39">
      <c r="B138" s="91" t="s">
        <v>1016</v>
      </c>
      <c r="C138" s="91" t="s">
        <v>1027</v>
      </c>
      <c r="D138" s="91" t="s">
        <v>23</v>
      </c>
      <c r="E138" s="91" t="s">
        <v>244</v>
      </c>
      <c r="F138" s="18" t="s">
        <v>1021</v>
      </c>
      <c r="G138" s="91">
        <v>87.069584239818894</v>
      </c>
    </row>
    <row r="139" spans="2:39">
      <c r="B139" s="91" t="s">
        <v>1016</v>
      </c>
      <c r="C139" s="91" t="s">
        <v>1027</v>
      </c>
      <c r="D139" s="91" t="s">
        <v>23</v>
      </c>
      <c r="E139" s="91" t="s">
        <v>244</v>
      </c>
      <c r="F139" s="18" t="s">
        <v>1022</v>
      </c>
      <c r="G139" s="91">
        <v>89.361437078691594</v>
      </c>
    </row>
    <row r="140" spans="2:39">
      <c r="B140" s="91" t="s">
        <v>1016</v>
      </c>
      <c r="C140" s="91" t="s">
        <v>1027</v>
      </c>
      <c r="D140" s="91" t="s">
        <v>23</v>
      </c>
      <c r="E140" s="91" t="s">
        <v>244</v>
      </c>
      <c r="F140" s="18" t="s">
        <v>1023</v>
      </c>
      <c r="G140" s="91">
        <v>91.832702198127606</v>
      </c>
    </row>
    <row r="141" spans="2:39">
      <c r="B141" s="91" t="s">
        <v>1016</v>
      </c>
      <c r="C141" s="91" t="s">
        <v>1027</v>
      </c>
      <c r="D141" s="91" t="s">
        <v>23</v>
      </c>
      <c r="E141" s="91" t="s">
        <v>244</v>
      </c>
      <c r="F141" s="18" t="s">
        <v>1024</v>
      </c>
      <c r="G141" s="91">
        <v>96.096611412369896</v>
      </c>
    </row>
    <row r="142" spans="2:39">
      <c r="B142" s="91" t="s">
        <v>1016</v>
      </c>
      <c r="C142" s="91" t="s">
        <v>1027</v>
      </c>
      <c r="D142" s="91" t="s">
        <v>183</v>
      </c>
      <c r="E142" s="91" t="s">
        <v>244</v>
      </c>
      <c r="F142" s="18" t="s">
        <v>1017</v>
      </c>
      <c r="G142" s="91">
        <v>74.916391548744102</v>
      </c>
    </row>
    <row r="143" spans="2:39">
      <c r="B143" s="91" t="s">
        <v>1016</v>
      </c>
      <c r="C143" s="91" t="s">
        <v>1027</v>
      </c>
      <c r="D143" s="91" t="s">
        <v>183</v>
      </c>
      <c r="E143" s="91" t="s">
        <v>244</v>
      </c>
      <c r="F143" s="18" t="s">
        <v>1018</v>
      </c>
      <c r="G143" s="91">
        <v>64.228919291552103</v>
      </c>
    </row>
    <row r="144" spans="2:39">
      <c r="B144" s="91" t="s">
        <v>1016</v>
      </c>
      <c r="C144" s="91" t="s">
        <v>1027</v>
      </c>
      <c r="D144" s="91" t="s">
        <v>183</v>
      </c>
      <c r="E144" s="91" t="s">
        <v>244</v>
      </c>
      <c r="F144" s="18" t="s">
        <v>1019</v>
      </c>
      <c r="G144" s="91">
        <v>49.943957566002901</v>
      </c>
    </row>
    <row r="145" spans="2:39">
      <c r="B145" s="91" t="s">
        <v>1016</v>
      </c>
      <c r="C145" s="91" t="s">
        <v>1027</v>
      </c>
      <c r="D145" s="91" t="s">
        <v>183</v>
      </c>
      <c r="E145" s="91" t="s">
        <v>244</v>
      </c>
      <c r="F145" s="18" t="s">
        <v>1020</v>
      </c>
      <c r="G145" s="91">
        <v>98.088164793674096</v>
      </c>
    </row>
    <row r="146" spans="2:39">
      <c r="B146" s="91" t="s">
        <v>1016</v>
      </c>
      <c r="C146" s="91" t="s">
        <v>1027</v>
      </c>
      <c r="D146" s="91" t="s">
        <v>183</v>
      </c>
      <c r="E146" s="91" t="s">
        <v>244</v>
      </c>
      <c r="F146" s="18" t="s">
        <v>1021</v>
      </c>
      <c r="G146" s="91">
        <v>101.494231906634</v>
      </c>
    </row>
    <row r="147" spans="2:39">
      <c r="B147" s="91" t="s">
        <v>1016</v>
      </c>
      <c r="C147" s="91" t="s">
        <v>1027</v>
      </c>
      <c r="D147" s="91" t="s">
        <v>183</v>
      </c>
      <c r="E147" s="91" t="s">
        <v>244</v>
      </c>
      <c r="F147" s="18" t="s">
        <v>1022</v>
      </c>
      <c r="G147" s="91">
        <v>72.236884706188405</v>
      </c>
    </row>
    <row r="148" spans="2:39">
      <c r="B148" s="91" t="s">
        <v>1016</v>
      </c>
      <c r="C148" s="91" t="s">
        <v>1027</v>
      </c>
      <c r="D148" s="91" t="s">
        <v>183</v>
      </c>
      <c r="E148" s="91" t="s">
        <v>244</v>
      </c>
      <c r="F148" s="18" t="s">
        <v>1023</v>
      </c>
      <c r="G148" s="91">
        <v>95.389925046721302</v>
      </c>
    </row>
    <row r="149" spans="2:39">
      <c r="B149" s="91" t="s">
        <v>1016</v>
      </c>
      <c r="C149" s="91" t="s">
        <v>1027</v>
      </c>
      <c r="D149" s="91" t="s">
        <v>183</v>
      </c>
      <c r="E149" s="91" t="s">
        <v>244</v>
      </c>
      <c r="F149" s="18" t="s">
        <v>1024</v>
      </c>
      <c r="G149" s="91">
        <v>93.409728509574805</v>
      </c>
    </row>
    <row r="150" spans="2:39">
      <c r="B150" s="91" t="s">
        <v>1016</v>
      </c>
      <c r="C150" s="91" t="s">
        <v>1027</v>
      </c>
      <c r="D150" s="91" t="s">
        <v>22</v>
      </c>
      <c r="E150" s="91" t="s">
        <v>244</v>
      </c>
      <c r="F150" s="18" t="s">
        <v>1017</v>
      </c>
      <c r="G150" s="91">
        <v>46.802512515422102</v>
      </c>
    </row>
    <row r="151" spans="2:39">
      <c r="B151" s="91" t="s">
        <v>1016</v>
      </c>
      <c r="C151" s="91" t="s">
        <v>1027</v>
      </c>
      <c r="D151" s="91" t="s">
        <v>22</v>
      </c>
      <c r="E151" s="91" t="s">
        <v>244</v>
      </c>
      <c r="F151" s="18" t="s">
        <v>1018</v>
      </c>
      <c r="G151" s="91">
        <v>28.4563369499521</v>
      </c>
    </row>
    <row r="152" spans="2:39">
      <c r="B152" s="91" t="s">
        <v>1016</v>
      </c>
      <c r="C152" s="91" t="s">
        <v>1027</v>
      </c>
      <c r="D152" s="91" t="s">
        <v>22</v>
      </c>
      <c r="E152" s="91" t="s">
        <v>244</v>
      </c>
      <c r="F152" s="18" t="s">
        <v>1019</v>
      </c>
      <c r="G152" s="91">
        <v>37.507360084808198</v>
      </c>
    </row>
    <row r="153" spans="2:39">
      <c r="B153" s="91" t="s">
        <v>1016</v>
      </c>
      <c r="C153" s="91" t="s">
        <v>1027</v>
      </c>
      <c r="D153" s="91" t="s">
        <v>22</v>
      </c>
      <c r="E153" s="91" t="s">
        <v>244</v>
      </c>
      <c r="F153" s="18" t="s">
        <v>1020</v>
      </c>
      <c r="G153" s="91">
        <v>0.53436866609558298</v>
      </c>
    </row>
    <row r="154" spans="2:39">
      <c r="B154" s="91" t="s">
        <v>1016</v>
      </c>
      <c r="C154" s="91" t="s">
        <v>1027</v>
      </c>
      <c r="D154" s="91" t="s">
        <v>22</v>
      </c>
      <c r="E154" s="91" t="s">
        <v>244</v>
      </c>
      <c r="F154" s="18" t="s">
        <v>1021</v>
      </c>
      <c r="G154" s="91">
        <v>-7.2297810195879899</v>
      </c>
    </row>
    <row r="155" spans="2:39">
      <c r="B155" s="91" t="s">
        <v>1016</v>
      </c>
      <c r="C155" s="91" t="s">
        <v>1027</v>
      </c>
      <c r="D155" s="91" t="s">
        <v>22</v>
      </c>
      <c r="E155" s="91" t="s">
        <v>244</v>
      </c>
      <c r="F155" s="18" t="s">
        <v>1022</v>
      </c>
      <c r="G155" s="91">
        <v>-46.507872233251</v>
      </c>
    </row>
    <row r="156" spans="2:39">
      <c r="B156" s="91" t="s">
        <v>1016</v>
      </c>
      <c r="C156" s="91" t="s">
        <v>1027</v>
      </c>
      <c r="D156" s="91" t="s">
        <v>22</v>
      </c>
      <c r="E156" s="91" t="s">
        <v>244</v>
      </c>
      <c r="F156" s="18" t="s">
        <v>1023</v>
      </c>
      <c r="G156" s="91">
        <v>16.181940775506401</v>
      </c>
    </row>
    <row r="157" spans="2:39">
      <c r="B157" s="91" t="s">
        <v>1016</v>
      </c>
      <c r="C157" s="91" t="s">
        <v>1027</v>
      </c>
      <c r="D157" s="91" t="s">
        <v>22</v>
      </c>
      <c r="E157" s="91" t="s">
        <v>244</v>
      </c>
      <c r="F157" s="18" t="s">
        <v>1024</v>
      </c>
      <c r="G157" s="91">
        <v>-7.1215375466131796</v>
      </c>
    </row>
    <row r="158" spans="2:39">
      <c r="B158" s="91" t="s">
        <v>1016</v>
      </c>
      <c r="C158" s="91" t="s">
        <v>1027</v>
      </c>
      <c r="D158" s="91" t="s">
        <v>601</v>
      </c>
      <c r="E158" s="91" t="s">
        <v>244</v>
      </c>
      <c r="F158" s="18" t="s">
        <v>1017</v>
      </c>
      <c r="G158" s="91">
        <f t="shared" ref="G158:G165" si="4">SUMPRODUCT(H158:AM158,$H$5:$AM$5)</f>
        <v>81.797944066540722</v>
      </c>
      <c r="H158" s="91">
        <v>86.797615203928004</v>
      </c>
      <c r="I158" s="91">
        <v>81.728278418417801</v>
      </c>
      <c r="J158" s="91">
        <v>81.728278418417801</v>
      </c>
      <c r="K158" s="91">
        <v>81.728278418417801</v>
      </c>
      <c r="L158" s="91">
        <v>86.517481187493303</v>
      </c>
      <c r="M158" s="91">
        <v>81.728278418417801</v>
      </c>
      <c r="N158" s="91">
        <v>81.728278418417801</v>
      </c>
      <c r="O158" s="91">
        <v>81.728278418417801</v>
      </c>
      <c r="P158" s="91">
        <v>81.728278418417801</v>
      </c>
      <c r="Q158" s="91">
        <v>81.728278418417801</v>
      </c>
      <c r="R158" s="91">
        <v>81.728278418417801</v>
      </c>
      <c r="S158" s="91">
        <v>81.728278418417801</v>
      </c>
      <c r="T158" s="91">
        <v>81.728278418417801</v>
      </c>
      <c r="U158" s="91">
        <v>81.728278418417801</v>
      </c>
      <c r="V158" s="91">
        <v>81.728278418417801</v>
      </c>
      <c r="W158" s="91">
        <v>81.728278418417801</v>
      </c>
      <c r="X158" s="91">
        <v>84.174062823400803</v>
      </c>
      <c r="Y158" s="91">
        <v>81.728278418417801</v>
      </c>
      <c r="Z158" s="91">
        <v>81.728278418417801</v>
      </c>
      <c r="AA158" s="91">
        <v>81.728278418417801</v>
      </c>
      <c r="AB158" s="91">
        <v>84.523306061849794</v>
      </c>
      <c r="AC158" s="91">
        <v>81.728278418417801</v>
      </c>
      <c r="AD158" s="91">
        <v>81.728278418417801</v>
      </c>
      <c r="AE158" s="91">
        <v>81.728278418417801</v>
      </c>
      <c r="AF158" s="91">
        <v>83.269527528293196</v>
      </c>
      <c r="AG158" s="91">
        <v>81.728278418417801</v>
      </c>
      <c r="AH158" s="91">
        <v>81.728278418417801</v>
      </c>
      <c r="AI158" s="91">
        <v>81.728278418417801</v>
      </c>
      <c r="AJ158" s="91">
        <v>81.728278418417801</v>
      </c>
      <c r="AK158" s="91">
        <v>81.728278418417801</v>
      </c>
      <c r="AL158" s="91">
        <v>81.728278418417801</v>
      </c>
      <c r="AM158" s="91">
        <v>81.728278418417801</v>
      </c>
    </row>
    <row r="159" spans="2:39">
      <c r="B159" s="91" t="s">
        <v>1016</v>
      </c>
      <c r="C159" s="91" t="s">
        <v>1027</v>
      </c>
      <c r="D159" s="91" t="s">
        <v>601</v>
      </c>
      <c r="E159" s="91" t="s">
        <v>244</v>
      </c>
      <c r="F159" s="18" t="s">
        <v>1018</v>
      </c>
      <c r="G159" s="91">
        <f t="shared" si="4"/>
        <v>52.230321497399082</v>
      </c>
      <c r="H159" s="91">
        <v>55.346325974216498</v>
      </c>
      <c r="I159" s="91">
        <v>52.1827585832811</v>
      </c>
      <c r="J159" s="91">
        <v>52.1827585832811</v>
      </c>
      <c r="K159" s="91">
        <v>52.1827585832811</v>
      </c>
      <c r="L159" s="91">
        <v>57.185354608142802</v>
      </c>
      <c r="M159" s="91">
        <v>52.1827585832811</v>
      </c>
      <c r="N159" s="91">
        <v>52.1827585832811</v>
      </c>
      <c r="O159" s="91">
        <v>52.1827585832811</v>
      </c>
      <c r="P159" s="91">
        <v>52.1827585832811</v>
      </c>
      <c r="Q159" s="91">
        <v>52.1827585832811</v>
      </c>
      <c r="R159" s="91">
        <v>52.1827585832811</v>
      </c>
      <c r="S159" s="91">
        <v>52.1827585832811</v>
      </c>
      <c r="T159" s="91">
        <v>52.1827585832811</v>
      </c>
      <c r="U159" s="91">
        <v>52.1827585832811</v>
      </c>
      <c r="V159" s="91">
        <v>52.1827585832811</v>
      </c>
      <c r="W159" s="91">
        <v>52.1827585832811</v>
      </c>
      <c r="X159" s="91">
        <v>52.1827585832811</v>
      </c>
      <c r="Y159" s="91">
        <v>52.1827585832811</v>
      </c>
      <c r="Z159" s="91">
        <v>52.1827585832811</v>
      </c>
      <c r="AA159" s="91">
        <v>52.340051278204797</v>
      </c>
      <c r="AB159" s="91">
        <v>55.017728275672802</v>
      </c>
      <c r="AC159" s="91">
        <v>52.1827585832811</v>
      </c>
      <c r="AD159" s="91">
        <v>52.1827585832811</v>
      </c>
      <c r="AE159" s="91">
        <v>52.1827585832811</v>
      </c>
      <c r="AF159" s="91">
        <v>52.1827585832811</v>
      </c>
      <c r="AG159" s="91">
        <v>52.1827585832811</v>
      </c>
      <c r="AH159" s="91">
        <v>52.1827585832811</v>
      </c>
      <c r="AI159" s="91">
        <v>52.1827585832811</v>
      </c>
      <c r="AJ159" s="91">
        <v>52.1827585832811</v>
      </c>
      <c r="AK159" s="91">
        <v>52.1827585832811</v>
      </c>
      <c r="AL159" s="91">
        <v>52.1827585832811</v>
      </c>
      <c r="AM159" s="91">
        <v>52.1827585832811</v>
      </c>
    </row>
    <row r="160" spans="2:39">
      <c r="B160" s="91" t="s">
        <v>1016</v>
      </c>
      <c r="C160" s="91" t="s">
        <v>1027</v>
      </c>
      <c r="D160" s="91" t="s">
        <v>601</v>
      </c>
      <c r="E160" s="91" t="s">
        <v>244</v>
      </c>
      <c r="F160" s="18" t="s">
        <v>1019</v>
      </c>
      <c r="G160" s="91">
        <f t="shared" si="4"/>
        <v>37.279878216062201</v>
      </c>
      <c r="H160" s="91">
        <v>37.279878216062201</v>
      </c>
      <c r="I160" s="91">
        <v>37.279878216062201</v>
      </c>
      <c r="J160" s="91">
        <v>37.279878216062201</v>
      </c>
      <c r="K160" s="91">
        <v>37.279878216062201</v>
      </c>
      <c r="L160" s="91">
        <v>37.279878216062201</v>
      </c>
      <c r="M160" s="91">
        <v>37.279878216062201</v>
      </c>
      <c r="N160" s="91">
        <v>37.279878216062201</v>
      </c>
      <c r="O160" s="91">
        <v>37.279878216062201</v>
      </c>
      <c r="P160" s="91">
        <v>37.279878216062201</v>
      </c>
      <c r="Q160" s="91">
        <v>37.279878216062201</v>
      </c>
      <c r="R160" s="91">
        <v>37.279878216062201</v>
      </c>
      <c r="S160" s="91">
        <v>37.279878216062201</v>
      </c>
      <c r="T160" s="91">
        <v>37.279878216062201</v>
      </c>
      <c r="U160" s="91">
        <v>37.279878216062201</v>
      </c>
      <c r="V160" s="91">
        <v>37.279878216062201</v>
      </c>
      <c r="W160" s="91">
        <v>37.279878216062201</v>
      </c>
      <c r="X160" s="91">
        <v>37.279878216062201</v>
      </c>
      <c r="Y160" s="91">
        <v>37.279878216062201</v>
      </c>
      <c r="Z160" s="91">
        <v>37.279878216062201</v>
      </c>
      <c r="AA160" s="91">
        <v>37.279878216062201</v>
      </c>
      <c r="AB160" s="91">
        <v>37.279878216062201</v>
      </c>
      <c r="AC160" s="91">
        <v>37.279878216062201</v>
      </c>
      <c r="AD160" s="91">
        <v>37.279878216062201</v>
      </c>
      <c r="AE160" s="91">
        <v>37.279878216062201</v>
      </c>
      <c r="AF160" s="91">
        <v>37.279878216062201</v>
      </c>
      <c r="AG160" s="91">
        <v>37.279878216062201</v>
      </c>
      <c r="AH160" s="91">
        <v>37.279878216062201</v>
      </c>
      <c r="AI160" s="91">
        <v>37.279878216062201</v>
      </c>
      <c r="AJ160" s="91">
        <v>37.279878216062201</v>
      </c>
      <c r="AK160" s="91">
        <v>37.279878216062201</v>
      </c>
      <c r="AL160" s="91">
        <v>37.279878216062201</v>
      </c>
      <c r="AM160" s="91">
        <v>37.279878216062201</v>
      </c>
    </row>
    <row r="161" spans="2:39">
      <c r="B161" s="91" t="s">
        <v>1016</v>
      </c>
      <c r="C161" s="91" t="s">
        <v>1027</v>
      </c>
      <c r="D161" s="91" t="s">
        <v>601</v>
      </c>
      <c r="E161" s="91" t="s">
        <v>244</v>
      </c>
      <c r="F161" s="18" t="s">
        <v>1020</v>
      </c>
      <c r="G161" s="91">
        <f t="shared" si="4"/>
        <v>42.829553392613988</v>
      </c>
      <c r="H161" s="91">
        <v>42.829553392614002</v>
      </c>
      <c r="I161" s="91">
        <v>42.829553392614002</v>
      </c>
      <c r="J161" s="91">
        <v>42.829553392614002</v>
      </c>
      <c r="K161" s="91">
        <v>42.829553392614002</v>
      </c>
      <c r="L161" s="91">
        <v>42.829553392614002</v>
      </c>
      <c r="M161" s="91">
        <v>42.829553392614002</v>
      </c>
      <c r="N161" s="91">
        <v>42.829553392614002</v>
      </c>
      <c r="O161" s="91">
        <v>42.829553392614002</v>
      </c>
      <c r="P161" s="91">
        <v>42.829553392614002</v>
      </c>
      <c r="Q161" s="91">
        <v>42.829553392614002</v>
      </c>
      <c r="R161" s="91">
        <v>42.829553392614002</v>
      </c>
      <c r="S161" s="91">
        <v>42.829553392614002</v>
      </c>
      <c r="T161" s="91">
        <v>42.829553392614002</v>
      </c>
      <c r="U161" s="91">
        <v>42.829553392614002</v>
      </c>
      <c r="V161" s="91">
        <v>42.829553392614002</v>
      </c>
      <c r="W161" s="91">
        <v>42.829553392614002</v>
      </c>
      <c r="X161" s="91">
        <v>42.829553392614002</v>
      </c>
      <c r="Y161" s="91">
        <v>42.829553392614002</v>
      </c>
      <c r="Z161" s="91">
        <v>42.829553392614002</v>
      </c>
      <c r="AA161" s="91">
        <v>42.829553392614002</v>
      </c>
      <c r="AB161" s="91">
        <v>42.829553392614002</v>
      </c>
      <c r="AC161" s="91">
        <v>42.829553392614002</v>
      </c>
      <c r="AD161" s="91">
        <v>42.829553392614002</v>
      </c>
      <c r="AE161" s="91">
        <v>42.829553392614002</v>
      </c>
      <c r="AF161" s="91">
        <v>42.829553392614002</v>
      </c>
      <c r="AG161" s="91">
        <v>42.829553392614002</v>
      </c>
      <c r="AH161" s="91">
        <v>42.829553392614002</v>
      </c>
      <c r="AI161" s="91">
        <v>42.829553392614002</v>
      </c>
      <c r="AJ161" s="91">
        <v>42.829553392614002</v>
      </c>
      <c r="AK161" s="91">
        <v>42.829553392614002</v>
      </c>
      <c r="AL161" s="91">
        <v>42.829553392614002</v>
      </c>
      <c r="AM161" s="91">
        <v>42.829553392614002</v>
      </c>
    </row>
    <row r="162" spans="2:39">
      <c r="B162" s="91" t="s">
        <v>1016</v>
      </c>
      <c r="C162" s="91" t="s">
        <v>1027</v>
      </c>
      <c r="D162" s="91" t="s">
        <v>601</v>
      </c>
      <c r="E162" s="91" t="s">
        <v>244</v>
      </c>
      <c r="F162" s="18" t="s">
        <v>1021</v>
      </c>
      <c r="G162" s="91">
        <f t="shared" si="4"/>
        <v>37.129869086338083</v>
      </c>
      <c r="H162" s="91">
        <v>37.129869086338097</v>
      </c>
      <c r="I162" s="91">
        <v>37.129869086338097</v>
      </c>
      <c r="J162" s="91">
        <v>37.129869086338097</v>
      </c>
      <c r="K162" s="91">
        <v>37.129869086338097</v>
      </c>
      <c r="L162" s="91">
        <v>37.129869086338097</v>
      </c>
      <c r="M162" s="91">
        <v>37.129869086338097</v>
      </c>
      <c r="N162" s="91">
        <v>37.129869086338097</v>
      </c>
      <c r="O162" s="91">
        <v>37.129869086338097</v>
      </c>
      <c r="P162" s="91">
        <v>37.129869086338097</v>
      </c>
      <c r="Q162" s="91">
        <v>37.129869086338097</v>
      </c>
      <c r="R162" s="91">
        <v>37.129869086338097</v>
      </c>
      <c r="S162" s="91">
        <v>37.129869086338097</v>
      </c>
      <c r="T162" s="91">
        <v>37.129869086338097</v>
      </c>
      <c r="U162" s="91">
        <v>37.129869086338097</v>
      </c>
      <c r="V162" s="91">
        <v>37.129869086338097</v>
      </c>
      <c r="W162" s="91">
        <v>37.129869086338097</v>
      </c>
      <c r="X162" s="91">
        <v>37.129869086338097</v>
      </c>
      <c r="Y162" s="91">
        <v>37.129869086338097</v>
      </c>
      <c r="Z162" s="91">
        <v>37.129869086338097</v>
      </c>
      <c r="AA162" s="91">
        <v>37.129869086338097</v>
      </c>
      <c r="AB162" s="91">
        <v>37.129869086338097</v>
      </c>
      <c r="AC162" s="91">
        <v>37.129869086338097</v>
      </c>
      <c r="AD162" s="91">
        <v>37.129869086338097</v>
      </c>
      <c r="AE162" s="91">
        <v>37.129869086338097</v>
      </c>
      <c r="AF162" s="91">
        <v>37.129869086338097</v>
      </c>
      <c r="AG162" s="91">
        <v>37.129869086338097</v>
      </c>
      <c r="AH162" s="91">
        <v>37.129869086338097</v>
      </c>
      <c r="AI162" s="91">
        <v>37.129869086338097</v>
      </c>
      <c r="AJ162" s="91">
        <v>37.129869086338097</v>
      </c>
      <c r="AK162" s="91">
        <v>37.129869086338097</v>
      </c>
      <c r="AL162" s="91">
        <v>37.129869086338097</v>
      </c>
      <c r="AM162" s="91">
        <v>37.129869086338097</v>
      </c>
    </row>
    <row r="163" spans="2:39">
      <c r="B163" s="91" t="s">
        <v>1016</v>
      </c>
      <c r="C163" s="91" t="s">
        <v>1027</v>
      </c>
      <c r="D163" s="91" t="s">
        <v>601</v>
      </c>
      <c r="E163" s="91" t="s">
        <v>244</v>
      </c>
      <c r="F163" s="18" t="s">
        <v>1022</v>
      </c>
      <c r="G163" s="91">
        <f t="shared" si="4"/>
        <v>0.93050592110384844</v>
      </c>
      <c r="H163" s="91">
        <v>5.5217247568282799</v>
      </c>
      <c r="I163" s="91">
        <v>0.75413328233228505</v>
      </c>
      <c r="J163" s="91">
        <v>0.75413328233228505</v>
      </c>
      <c r="K163" s="91">
        <v>0.75413328233228505</v>
      </c>
      <c r="L163" s="91">
        <v>4.77685771973238</v>
      </c>
      <c r="M163" s="91">
        <v>0.75413328233228505</v>
      </c>
      <c r="N163" s="91">
        <v>0.75413328233228505</v>
      </c>
      <c r="O163" s="91">
        <v>0.75413328233228505</v>
      </c>
      <c r="P163" s="91">
        <v>1.9397166169765401</v>
      </c>
      <c r="Q163" s="91">
        <v>0.75413328233228505</v>
      </c>
      <c r="R163" s="91">
        <v>0.75413328233228505</v>
      </c>
      <c r="S163" s="91">
        <v>0.75413328233228505</v>
      </c>
      <c r="T163" s="91">
        <v>0.75413328233228505</v>
      </c>
      <c r="U163" s="91">
        <v>0.75413328233228505</v>
      </c>
      <c r="V163" s="91">
        <v>0.75413328233228505</v>
      </c>
      <c r="W163" s="91">
        <v>0.75413328233228505</v>
      </c>
      <c r="X163" s="91">
        <v>9.3877120009110993</v>
      </c>
      <c r="Y163" s="91">
        <v>0.75413328233228505</v>
      </c>
      <c r="Z163" s="91">
        <v>0.75413328233228505</v>
      </c>
      <c r="AA163" s="91">
        <v>0.75413328233228505</v>
      </c>
      <c r="AB163" s="91">
        <v>5.8636269270868597</v>
      </c>
      <c r="AC163" s="91">
        <v>0.75413328233228505</v>
      </c>
      <c r="AD163" s="91">
        <v>0.75413328233228505</v>
      </c>
      <c r="AE163" s="91">
        <v>0.75413328233228505</v>
      </c>
      <c r="AF163" s="91">
        <v>9.2652057417238005</v>
      </c>
      <c r="AG163" s="91">
        <v>0.75413328233228505</v>
      </c>
      <c r="AH163" s="91">
        <v>0.75413328233228505</v>
      </c>
      <c r="AI163" s="91">
        <v>0.75413328233228505</v>
      </c>
      <c r="AJ163" s="91">
        <v>3.90591679966384</v>
      </c>
      <c r="AK163" s="91">
        <v>0.75413328233228505</v>
      </c>
      <c r="AL163" s="91">
        <v>0.75413328233228505</v>
      </c>
      <c r="AM163" s="91">
        <v>0.75413328233228505</v>
      </c>
    </row>
    <row r="164" spans="2:39">
      <c r="B164" s="91" t="s">
        <v>1016</v>
      </c>
      <c r="C164" s="91" t="s">
        <v>1027</v>
      </c>
      <c r="D164" s="91" t="s">
        <v>601</v>
      </c>
      <c r="E164" s="91" t="s">
        <v>244</v>
      </c>
      <c r="F164" s="18" t="s">
        <v>1023</v>
      </c>
      <c r="G164" s="91">
        <f t="shared" si="4"/>
        <v>27.055200716861954</v>
      </c>
      <c r="H164" s="91">
        <v>31.838999762197101</v>
      </c>
      <c r="I164" s="91">
        <v>26.871337402261201</v>
      </c>
      <c r="J164" s="91">
        <v>26.871337402261201</v>
      </c>
      <c r="K164" s="91">
        <v>26.871337402261201</v>
      </c>
      <c r="L164" s="91">
        <v>31.0776974232067</v>
      </c>
      <c r="M164" s="91">
        <v>26.871337402261201</v>
      </c>
      <c r="N164" s="91">
        <v>26.871337402261201</v>
      </c>
      <c r="O164" s="91">
        <v>26.871337402261201</v>
      </c>
      <c r="P164" s="91">
        <v>28.379998560885898</v>
      </c>
      <c r="Q164" s="91">
        <v>26.871337402261201</v>
      </c>
      <c r="R164" s="91">
        <v>26.871337402261201</v>
      </c>
      <c r="S164" s="91">
        <v>26.871337402261201</v>
      </c>
      <c r="T164" s="91">
        <v>26.871337402261201</v>
      </c>
      <c r="U164" s="91">
        <v>26.871337402261201</v>
      </c>
      <c r="V164" s="91">
        <v>26.871337402261201</v>
      </c>
      <c r="W164" s="91">
        <v>26.871337402261201</v>
      </c>
      <c r="X164" s="91">
        <v>36.228144849897703</v>
      </c>
      <c r="Y164" s="91">
        <v>26.871337402261201</v>
      </c>
      <c r="Z164" s="91">
        <v>26.871337402261201</v>
      </c>
      <c r="AA164" s="91">
        <v>26.871337402261201</v>
      </c>
      <c r="AB164" s="91">
        <v>32.241718163961501</v>
      </c>
      <c r="AC164" s="91">
        <v>26.871337402261201</v>
      </c>
      <c r="AD164" s="91">
        <v>26.871337402261201</v>
      </c>
      <c r="AE164" s="91">
        <v>26.871337402261201</v>
      </c>
      <c r="AF164" s="91">
        <v>35.764103738268403</v>
      </c>
      <c r="AG164" s="91">
        <v>26.871337402261201</v>
      </c>
      <c r="AH164" s="91">
        <v>26.871337402261201</v>
      </c>
      <c r="AI164" s="91">
        <v>26.871337402261201</v>
      </c>
      <c r="AJ164" s="91">
        <v>30.0926642219993</v>
      </c>
      <c r="AK164" s="91">
        <v>26.871337402261201</v>
      </c>
      <c r="AL164" s="91">
        <v>26.871337402261201</v>
      </c>
      <c r="AM164" s="91">
        <v>26.871337402261201</v>
      </c>
    </row>
    <row r="165" spans="2:39">
      <c r="B165" s="91" t="s">
        <v>1016</v>
      </c>
      <c r="C165" s="91" t="s">
        <v>1027</v>
      </c>
      <c r="D165" s="91" t="s">
        <v>601</v>
      </c>
      <c r="E165" s="91" t="s">
        <v>244</v>
      </c>
      <c r="F165" s="18" t="s">
        <v>1024</v>
      </c>
      <c r="G165" s="91">
        <f t="shared" si="4"/>
        <v>37.378283603578197</v>
      </c>
      <c r="H165" s="91">
        <v>45.935322792143097</v>
      </c>
      <c r="I165" s="91">
        <v>37.061760587684297</v>
      </c>
      <c r="J165" s="91">
        <v>37.061760587684297</v>
      </c>
      <c r="K165" s="91">
        <v>37.061760587684297</v>
      </c>
      <c r="L165" s="91">
        <v>44.570158248698803</v>
      </c>
      <c r="M165" s="91">
        <v>37.061760587684297</v>
      </c>
      <c r="N165" s="91">
        <v>37.061760587684297</v>
      </c>
      <c r="O165" s="91">
        <v>37.061760587684297</v>
      </c>
      <c r="P165" s="91">
        <v>40.218345016341701</v>
      </c>
      <c r="Q165" s="91">
        <v>37.061760587684297</v>
      </c>
      <c r="R165" s="91">
        <v>37.061760587684297</v>
      </c>
      <c r="S165" s="91">
        <v>37.061760587684297</v>
      </c>
      <c r="T165" s="91">
        <v>37.061760587684297</v>
      </c>
      <c r="U165" s="91">
        <v>37.061760587684297</v>
      </c>
      <c r="V165" s="91">
        <v>37.061760587684297</v>
      </c>
      <c r="W165" s="91">
        <v>37.061760587684297</v>
      </c>
      <c r="X165" s="91">
        <v>49.7661760329297</v>
      </c>
      <c r="Y165" s="91">
        <v>37.061760587684297</v>
      </c>
      <c r="Z165" s="91">
        <v>37.061760587684297</v>
      </c>
      <c r="AA165" s="91">
        <v>37.446965336667702</v>
      </c>
      <c r="AB165" s="91">
        <v>46.947498650981998</v>
      </c>
      <c r="AC165" s="91">
        <v>37.061760587684297</v>
      </c>
      <c r="AD165" s="91">
        <v>37.061760587684297</v>
      </c>
      <c r="AE165" s="91">
        <v>37.061760587684297</v>
      </c>
      <c r="AF165" s="91">
        <v>49.696016524307403</v>
      </c>
      <c r="AG165" s="91">
        <v>37.061760587684297</v>
      </c>
      <c r="AH165" s="91">
        <v>37.061760587684297</v>
      </c>
      <c r="AI165" s="91">
        <v>37.061760587684297</v>
      </c>
      <c r="AJ165" s="91">
        <v>43.0960538169684</v>
      </c>
      <c r="AK165" s="91">
        <v>37.061760587684297</v>
      </c>
      <c r="AL165" s="91">
        <v>37.061760587684297</v>
      </c>
      <c r="AM165" s="91">
        <v>37.061760587684297</v>
      </c>
    </row>
    <row r="166" spans="2:39">
      <c r="B166" s="91" t="s">
        <v>1016</v>
      </c>
      <c r="C166" s="91" t="s">
        <v>1027</v>
      </c>
      <c r="D166" s="91" t="s">
        <v>217</v>
      </c>
      <c r="E166" s="91" t="s">
        <v>244</v>
      </c>
      <c r="F166" s="18" t="s">
        <v>1017</v>
      </c>
      <c r="G166" s="91">
        <v>33.087866001086503</v>
      </c>
    </row>
    <row r="167" spans="2:39">
      <c r="B167" s="91" t="s">
        <v>1016</v>
      </c>
      <c r="C167" s="91" t="s">
        <v>1027</v>
      </c>
      <c r="D167" s="91" t="s">
        <v>217</v>
      </c>
      <c r="E167" s="91" t="s">
        <v>244</v>
      </c>
      <c r="F167" s="18" t="s">
        <v>1018</v>
      </c>
      <c r="G167" s="91">
        <v>15.603730393545501</v>
      </c>
    </row>
    <row r="168" spans="2:39">
      <c r="B168" s="91" t="s">
        <v>1016</v>
      </c>
      <c r="C168" s="91" t="s">
        <v>1027</v>
      </c>
      <c r="D168" s="91" t="s">
        <v>217</v>
      </c>
      <c r="E168" s="91" t="s">
        <v>244</v>
      </c>
      <c r="F168" s="18" t="s">
        <v>1019</v>
      </c>
      <c r="G168" s="91">
        <v>38.757318426258003</v>
      </c>
    </row>
    <row r="169" spans="2:39">
      <c r="B169" s="91" t="s">
        <v>1016</v>
      </c>
      <c r="C169" s="91" t="s">
        <v>1027</v>
      </c>
      <c r="D169" s="91" t="s">
        <v>217</v>
      </c>
      <c r="E169" s="91" t="s">
        <v>244</v>
      </c>
      <c r="F169" s="18" t="s">
        <v>1020</v>
      </c>
      <c r="G169" s="91">
        <v>40.647310864462902</v>
      </c>
    </row>
    <row r="170" spans="2:39">
      <c r="B170" s="91" t="s">
        <v>1016</v>
      </c>
      <c r="C170" s="91" t="s">
        <v>1027</v>
      </c>
      <c r="D170" s="91" t="s">
        <v>217</v>
      </c>
      <c r="E170" s="91" t="s">
        <v>244</v>
      </c>
      <c r="F170" s="18" t="s">
        <v>1021</v>
      </c>
      <c r="G170" s="91">
        <v>41.684380314077004</v>
      </c>
    </row>
    <row r="171" spans="2:39">
      <c r="B171" s="91" t="s">
        <v>1016</v>
      </c>
      <c r="C171" s="91" t="s">
        <v>1027</v>
      </c>
      <c r="D171" s="91" t="s">
        <v>217</v>
      </c>
      <c r="E171" s="91" t="s">
        <v>244</v>
      </c>
      <c r="F171" s="18" t="s">
        <v>1022</v>
      </c>
      <c r="G171" s="91">
        <v>31.9696459069709</v>
      </c>
    </row>
    <row r="172" spans="2:39">
      <c r="B172" s="91" t="s">
        <v>1016</v>
      </c>
      <c r="C172" s="91" t="s">
        <v>1027</v>
      </c>
      <c r="D172" s="91" t="s">
        <v>217</v>
      </c>
      <c r="E172" s="91" t="s">
        <v>244</v>
      </c>
      <c r="F172" s="18" t="s">
        <v>1023</v>
      </c>
      <c r="G172" s="91">
        <v>40.915064797026801</v>
      </c>
    </row>
    <row r="173" spans="2:39">
      <c r="B173" s="91" t="s">
        <v>1016</v>
      </c>
      <c r="C173" s="91" t="s">
        <v>1027</v>
      </c>
      <c r="D173" s="91" t="s">
        <v>217</v>
      </c>
      <c r="E173" s="91" t="s">
        <v>244</v>
      </c>
      <c r="F173" s="18" t="s">
        <v>1024</v>
      </c>
      <c r="G173" s="91">
        <v>19.527190260276701</v>
      </c>
    </row>
    <row r="174" spans="2:39">
      <c r="B174" s="91" t="s">
        <v>1016</v>
      </c>
      <c r="C174" s="91" t="s">
        <v>1027</v>
      </c>
      <c r="D174" s="91" t="s">
        <v>310</v>
      </c>
      <c r="E174" s="91" t="s">
        <v>244</v>
      </c>
      <c r="F174" s="18" t="s">
        <v>1017</v>
      </c>
      <c r="G174" s="91">
        <f t="shared" ref="G174:G181" si="5">SUMPRODUCT(H174:AM174,$H$5:$AM$5)</f>
        <v>154.02154420399026</v>
      </c>
      <c r="H174" s="91">
        <v>123.50729296097801</v>
      </c>
      <c r="I174" s="91">
        <v>156.41518491914701</v>
      </c>
      <c r="J174" s="91">
        <v>146.09077936750299</v>
      </c>
      <c r="K174" s="91">
        <v>146.09077936750299</v>
      </c>
      <c r="L174" s="91">
        <v>124.75526740415199</v>
      </c>
      <c r="M174" s="91">
        <v>159.10304430225801</v>
      </c>
      <c r="N174" s="91">
        <v>146.09077936750299</v>
      </c>
      <c r="O174" s="91">
        <v>146.09077936750299</v>
      </c>
      <c r="P174" s="91">
        <v>151.57143344977399</v>
      </c>
      <c r="Q174" s="91">
        <v>168.92079818847401</v>
      </c>
      <c r="R174" s="91">
        <v>159.43026283498699</v>
      </c>
      <c r="S174" s="91">
        <v>157.324022964428</v>
      </c>
      <c r="T174" s="91">
        <v>156.38330836141799</v>
      </c>
      <c r="U174" s="91">
        <v>168.80819735384</v>
      </c>
      <c r="V174" s="91">
        <v>161.72344692554299</v>
      </c>
      <c r="W174" s="91">
        <v>161.72344692554299</v>
      </c>
      <c r="X174" s="91">
        <v>123.50729296097801</v>
      </c>
      <c r="Y174" s="91">
        <v>156.240370658156</v>
      </c>
      <c r="Z174" s="91">
        <v>147.599130577881</v>
      </c>
      <c r="AA174" s="91">
        <v>146.92531209790801</v>
      </c>
      <c r="AB174" s="91">
        <v>133.63915670717199</v>
      </c>
      <c r="AC174" s="91">
        <v>157.324022964428</v>
      </c>
      <c r="AD174" s="91">
        <v>148.84535840279401</v>
      </c>
      <c r="AE174" s="91">
        <v>153.468148001857</v>
      </c>
      <c r="AF174" s="91">
        <v>139.22463892454999</v>
      </c>
      <c r="AG174" s="91">
        <v>180.46434471278801</v>
      </c>
      <c r="AH174" s="91">
        <v>155.22693949990901</v>
      </c>
      <c r="AI174" s="91">
        <v>155.618534250105</v>
      </c>
      <c r="AJ174" s="91">
        <v>150.498469409226</v>
      </c>
      <c r="AK174" s="91">
        <v>171.120011181747</v>
      </c>
      <c r="AL174" s="91">
        <v>159.64266710447001</v>
      </c>
      <c r="AM174" s="91">
        <v>161.72344692554299</v>
      </c>
    </row>
    <row r="175" spans="2:39">
      <c r="B175" s="91" t="s">
        <v>1016</v>
      </c>
      <c r="C175" s="91" t="s">
        <v>1027</v>
      </c>
      <c r="D175" s="91" t="s">
        <v>310</v>
      </c>
      <c r="E175" s="91" t="s">
        <v>244</v>
      </c>
      <c r="F175" s="18" t="s">
        <v>1018</v>
      </c>
      <c r="G175" s="91">
        <f t="shared" si="5"/>
        <v>127.35073638099917</v>
      </c>
      <c r="H175" s="91">
        <v>91.989622005418497</v>
      </c>
      <c r="I175" s="91">
        <v>136.95101590805001</v>
      </c>
      <c r="J175" s="91">
        <v>118.720467622149</v>
      </c>
      <c r="K175" s="91">
        <v>118.720467622149</v>
      </c>
      <c r="L175" s="91">
        <v>94.844533170905805</v>
      </c>
      <c r="M175" s="91">
        <v>134.91494428935701</v>
      </c>
      <c r="N175" s="91">
        <v>118.720467622149</v>
      </c>
      <c r="O175" s="91">
        <v>118.720467622149</v>
      </c>
      <c r="P175" s="91">
        <v>121.77530116954701</v>
      </c>
      <c r="Q175" s="91">
        <v>149.574083172229</v>
      </c>
      <c r="R175" s="91">
        <v>134.24914987872799</v>
      </c>
      <c r="S175" s="91">
        <v>130.98432543291599</v>
      </c>
      <c r="T175" s="91">
        <v>127.941807751233</v>
      </c>
      <c r="U175" s="91">
        <v>148.03498616030501</v>
      </c>
      <c r="V175" s="91">
        <v>137.13906082459101</v>
      </c>
      <c r="W175" s="91">
        <v>136.95101590805001</v>
      </c>
      <c r="X175" s="91">
        <v>92.406767370070796</v>
      </c>
      <c r="Y175" s="91">
        <v>132.11924726110101</v>
      </c>
      <c r="Z175" s="91">
        <v>118.720467622149</v>
      </c>
      <c r="AA175" s="91">
        <v>117.969755380946</v>
      </c>
      <c r="AB175" s="91">
        <v>105.18998260788599</v>
      </c>
      <c r="AC175" s="91">
        <v>131.51063563508899</v>
      </c>
      <c r="AD175" s="91">
        <v>120.108910520789</v>
      </c>
      <c r="AE175" s="91">
        <v>121.335707258065</v>
      </c>
      <c r="AF175" s="91">
        <v>105.436492463622</v>
      </c>
      <c r="AG175" s="91">
        <v>160.62520774695199</v>
      </c>
      <c r="AH175" s="91">
        <v>127.767497218789</v>
      </c>
      <c r="AI175" s="91">
        <v>129.277793478013</v>
      </c>
      <c r="AJ175" s="91">
        <v>118.720467622149</v>
      </c>
      <c r="AK175" s="91">
        <v>149.73501754482101</v>
      </c>
      <c r="AL175" s="91">
        <v>135.966991998834</v>
      </c>
      <c r="AM175" s="91">
        <v>137.11573255495</v>
      </c>
    </row>
    <row r="176" spans="2:39">
      <c r="B176" s="91" t="s">
        <v>1016</v>
      </c>
      <c r="C176" s="91" t="s">
        <v>1027</v>
      </c>
      <c r="D176" s="91" t="s">
        <v>310</v>
      </c>
      <c r="E176" s="91" t="s">
        <v>244</v>
      </c>
      <c r="F176" s="18" t="s">
        <v>1019</v>
      </c>
      <c r="G176" s="91">
        <f t="shared" si="5"/>
        <v>161.68127090413751</v>
      </c>
      <c r="H176" s="91">
        <v>124.008412462788</v>
      </c>
      <c r="I176" s="91">
        <v>184.520038427277</v>
      </c>
      <c r="J176" s="91">
        <v>153.34703330729999</v>
      </c>
      <c r="K176" s="91">
        <v>153.22271819457001</v>
      </c>
      <c r="L176" s="91">
        <v>129.679033941764</v>
      </c>
      <c r="M176" s="91">
        <v>194.03900078913301</v>
      </c>
      <c r="N176" s="91">
        <v>161.44201435798399</v>
      </c>
      <c r="O176" s="91">
        <v>172.70207507792099</v>
      </c>
      <c r="P176" s="91">
        <v>145.086270006604</v>
      </c>
      <c r="Q176" s="91">
        <v>187.758786219981</v>
      </c>
      <c r="R176" s="91">
        <v>165.20871396543299</v>
      </c>
      <c r="S176" s="91">
        <v>158.97916463184399</v>
      </c>
      <c r="T176" s="91">
        <v>152.84692471798201</v>
      </c>
      <c r="U176" s="91">
        <v>187.02856947006001</v>
      </c>
      <c r="V176" s="91">
        <v>170.07709594852</v>
      </c>
      <c r="W176" s="91">
        <v>175.22140183395601</v>
      </c>
      <c r="X176" s="91">
        <v>108.763994767263</v>
      </c>
      <c r="Y176" s="91">
        <v>167.02488756336001</v>
      </c>
      <c r="Z176" s="91">
        <v>149.44541919111001</v>
      </c>
      <c r="AA176" s="91">
        <v>144.91606531601599</v>
      </c>
      <c r="AB176" s="91">
        <v>123.482485301126</v>
      </c>
      <c r="AC176" s="91">
        <v>178.387276440893</v>
      </c>
      <c r="AD176" s="91">
        <v>152.258284992499</v>
      </c>
      <c r="AE176" s="91">
        <v>162.318180998961</v>
      </c>
      <c r="AF176" s="91">
        <v>113.883523008742</v>
      </c>
      <c r="AG176" s="91">
        <v>198.25181185740101</v>
      </c>
      <c r="AH176" s="91">
        <v>152.19183100742501</v>
      </c>
      <c r="AI176" s="91">
        <v>153.65150749509201</v>
      </c>
      <c r="AJ176" s="91">
        <v>136.925099369582</v>
      </c>
      <c r="AK176" s="91">
        <v>187.952153155346</v>
      </c>
      <c r="AL176" s="91">
        <v>165.58094200853299</v>
      </c>
      <c r="AM176" s="91">
        <v>175.15210525362801</v>
      </c>
    </row>
    <row r="177" spans="2:39">
      <c r="B177" s="91" t="s">
        <v>1016</v>
      </c>
      <c r="C177" s="91" t="s">
        <v>1027</v>
      </c>
      <c r="D177" s="91" t="s">
        <v>310</v>
      </c>
      <c r="E177" s="91" t="s">
        <v>244</v>
      </c>
      <c r="F177" s="18" t="s">
        <v>1020</v>
      </c>
      <c r="G177" s="91">
        <f t="shared" si="5"/>
        <v>151.7505642171318</v>
      </c>
      <c r="H177" s="91">
        <v>110.404178392258</v>
      </c>
      <c r="I177" s="91">
        <v>186.174415095878</v>
      </c>
      <c r="J177" s="91">
        <v>141.714936410067</v>
      </c>
      <c r="K177" s="91">
        <v>141.536577035362</v>
      </c>
      <c r="L177" s="91">
        <v>116.20839830132699</v>
      </c>
      <c r="M177" s="91">
        <v>198.187984732958</v>
      </c>
      <c r="N177" s="91">
        <v>148.46615750268799</v>
      </c>
      <c r="O177" s="91">
        <v>165.82007025457199</v>
      </c>
      <c r="P177" s="91">
        <v>132.55163779086601</v>
      </c>
      <c r="Q177" s="91">
        <v>181.71979094013301</v>
      </c>
      <c r="R177" s="91">
        <v>154.52442314702699</v>
      </c>
      <c r="S177" s="91">
        <v>146.34921876326101</v>
      </c>
      <c r="T177" s="91">
        <v>140.93683252620599</v>
      </c>
      <c r="U177" s="91">
        <v>189.34034970341699</v>
      </c>
      <c r="V177" s="91">
        <v>160.395687642008</v>
      </c>
      <c r="W177" s="91">
        <v>166.98538092947101</v>
      </c>
      <c r="X177" s="91">
        <v>89.118038099903202</v>
      </c>
      <c r="Y177" s="91">
        <v>158.04109780789099</v>
      </c>
      <c r="Z177" s="91">
        <v>141.41895390462099</v>
      </c>
      <c r="AA177" s="91">
        <v>136.19154188023001</v>
      </c>
      <c r="AB177" s="91">
        <v>110.614149775934</v>
      </c>
      <c r="AC177" s="91">
        <v>178.434457693978</v>
      </c>
      <c r="AD177" s="91">
        <v>141.714936410067</v>
      </c>
      <c r="AE177" s="91">
        <v>149.48425018889799</v>
      </c>
      <c r="AF177" s="91">
        <v>99.744795445910995</v>
      </c>
      <c r="AG177" s="91">
        <v>198.50748094630501</v>
      </c>
      <c r="AH177" s="91">
        <v>140.93683252620599</v>
      </c>
      <c r="AI177" s="91">
        <v>140.93683252620599</v>
      </c>
      <c r="AJ177" s="91">
        <v>122.497262548682</v>
      </c>
      <c r="AK177" s="91">
        <v>181.952991298293</v>
      </c>
      <c r="AL177" s="91">
        <v>152.775126676295</v>
      </c>
      <c r="AM177" s="91">
        <v>166.77104377417399</v>
      </c>
    </row>
    <row r="178" spans="2:39">
      <c r="B178" s="91" t="s">
        <v>1016</v>
      </c>
      <c r="C178" s="91" t="s">
        <v>1027</v>
      </c>
      <c r="D178" s="91" t="s">
        <v>310</v>
      </c>
      <c r="E178" s="91" t="s">
        <v>244</v>
      </c>
      <c r="F178" s="18" t="s">
        <v>1021</v>
      </c>
      <c r="G178" s="91">
        <f t="shared" si="5"/>
        <v>132.81578102926036</v>
      </c>
      <c r="H178" s="91">
        <v>87.323773246526699</v>
      </c>
      <c r="I178" s="91">
        <v>172.27354815855</v>
      </c>
      <c r="J178" s="91">
        <v>122.814856197884</v>
      </c>
      <c r="K178" s="91">
        <v>120.210543483999</v>
      </c>
      <c r="L178" s="91">
        <v>91.821318792518696</v>
      </c>
      <c r="M178" s="91">
        <v>186.13078381254201</v>
      </c>
      <c r="N178" s="91">
        <v>131.22694523652299</v>
      </c>
      <c r="O178" s="91">
        <v>151.24408134063501</v>
      </c>
      <c r="P178" s="91">
        <v>108.116350368593</v>
      </c>
      <c r="Q178" s="91">
        <v>167.13529378945799</v>
      </c>
      <c r="R178" s="91">
        <v>135.76638083598601</v>
      </c>
      <c r="S178" s="91">
        <v>126.33656629396</v>
      </c>
      <c r="T178" s="91">
        <v>117.16065469107301</v>
      </c>
      <c r="U178" s="91">
        <v>175.92534385683899</v>
      </c>
      <c r="V178" s="91">
        <v>142.53868067289301</v>
      </c>
      <c r="W178" s="91">
        <v>151.170833824466</v>
      </c>
      <c r="X178" s="91">
        <v>60.168035655419899</v>
      </c>
      <c r="Y178" s="91">
        <v>139.253862145998</v>
      </c>
      <c r="Z178" s="91">
        <v>117.46301192396599</v>
      </c>
      <c r="AA178" s="91">
        <v>114.620038524327</v>
      </c>
      <c r="AB178" s="91">
        <v>84.783339319792404</v>
      </c>
      <c r="AC178" s="91">
        <v>163.34577590516901</v>
      </c>
      <c r="AD178" s="91">
        <v>121.32142008124499</v>
      </c>
      <c r="AE178" s="91">
        <v>132.40127981788501</v>
      </c>
      <c r="AF178" s="91">
        <v>65.552340673776797</v>
      </c>
      <c r="AG178" s="91">
        <v>171.462739690814</v>
      </c>
      <c r="AH178" s="91">
        <v>116.169796201976</v>
      </c>
      <c r="AI178" s="91">
        <v>119.689403358438</v>
      </c>
      <c r="AJ178" s="91">
        <v>96.421662368936396</v>
      </c>
      <c r="AK178" s="91">
        <v>169.232610207943</v>
      </c>
      <c r="AL178" s="91">
        <v>133.748628065085</v>
      </c>
      <c r="AM178" s="91">
        <v>150.675132335201</v>
      </c>
    </row>
    <row r="179" spans="2:39">
      <c r="B179" s="91" t="s">
        <v>1016</v>
      </c>
      <c r="C179" s="91" t="s">
        <v>1027</v>
      </c>
      <c r="D179" s="91" t="s">
        <v>310</v>
      </c>
      <c r="E179" s="91" t="s">
        <v>244</v>
      </c>
      <c r="F179" s="18" t="s">
        <v>1022</v>
      </c>
      <c r="G179" s="91">
        <f t="shared" si="5"/>
        <v>123.04083786066657</v>
      </c>
      <c r="H179" s="91">
        <v>77.351306804328601</v>
      </c>
      <c r="I179" s="91">
        <v>163.245848711539</v>
      </c>
      <c r="J179" s="91">
        <v>111.087657595549</v>
      </c>
      <c r="K179" s="91">
        <v>110.91759408207101</v>
      </c>
      <c r="L179" s="91">
        <v>81.941782085159801</v>
      </c>
      <c r="M179" s="91">
        <v>177.38940703236401</v>
      </c>
      <c r="N179" s="91">
        <v>122.161620276254</v>
      </c>
      <c r="O179" s="91">
        <v>134.578897915737</v>
      </c>
      <c r="P179" s="91">
        <v>99.4265484284374</v>
      </c>
      <c r="Q179" s="91">
        <v>161.54863754262399</v>
      </c>
      <c r="R179" s="91">
        <v>125.984358537917</v>
      </c>
      <c r="S179" s="91">
        <v>116.359702130252</v>
      </c>
      <c r="T179" s="91">
        <v>107.42847342191401</v>
      </c>
      <c r="U179" s="91">
        <v>166.97309898887801</v>
      </c>
      <c r="V179" s="91">
        <v>132.896589815575</v>
      </c>
      <c r="W179" s="91">
        <v>142.94128137615499</v>
      </c>
      <c r="X179" s="91">
        <v>53.525955438046203</v>
      </c>
      <c r="Y179" s="91">
        <v>129.93784221371999</v>
      </c>
      <c r="Z179" s="91">
        <v>108.45298645932399</v>
      </c>
      <c r="AA179" s="91">
        <v>106.73307525807</v>
      </c>
      <c r="AB179" s="91">
        <v>75.244228113944004</v>
      </c>
      <c r="AC179" s="91">
        <v>154.13360795200799</v>
      </c>
      <c r="AD179" s="91">
        <v>109.598246053842</v>
      </c>
      <c r="AE179" s="91">
        <v>123.360219337017</v>
      </c>
      <c r="AF179" s="91">
        <v>54.280938443790397</v>
      </c>
      <c r="AG179" s="91">
        <v>162.36768768169199</v>
      </c>
      <c r="AH179" s="91">
        <v>107.428473417234</v>
      </c>
      <c r="AI179" s="91">
        <v>108.45298645923999</v>
      </c>
      <c r="AJ179" s="91">
        <v>87.309226965291401</v>
      </c>
      <c r="AK179" s="91">
        <v>160.462511221635</v>
      </c>
      <c r="AL179" s="91">
        <v>123.92491430929699</v>
      </c>
      <c r="AM179" s="91">
        <v>142.43378042487399</v>
      </c>
    </row>
    <row r="180" spans="2:39">
      <c r="B180" s="91" t="s">
        <v>1016</v>
      </c>
      <c r="C180" s="91" t="s">
        <v>1027</v>
      </c>
      <c r="D180" s="91" t="s">
        <v>310</v>
      </c>
      <c r="E180" s="91" t="s">
        <v>244</v>
      </c>
      <c r="F180" s="18" t="s">
        <v>1023</v>
      </c>
      <c r="G180" s="91">
        <f t="shared" si="5"/>
        <v>130.52365563828522</v>
      </c>
      <c r="H180" s="91">
        <v>84.951735010426006</v>
      </c>
      <c r="I180" s="91">
        <v>171.418352158956</v>
      </c>
      <c r="J180" s="91">
        <v>118.688085801646</v>
      </c>
      <c r="K180" s="91">
        <v>118.518022288168</v>
      </c>
      <c r="L180" s="91">
        <v>89.542210291257305</v>
      </c>
      <c r="M180" s="91">
        <v>185.56191047978101</v>
      </c>
      <c r="N180" s="91">
        <v>129.76204848235099</v>
      </c>
      <c r="O180" s="91">
        <v>133.02935686600199</v>
      </c>
      <c r="P180" s="91">
        <v>105.80870430864501</v>
      </c>
      <c r="Q180" s="91">
        <v>169.72114099004099</v>
      </c>
      <c r="R180" s="91">
        <v>134.15686198533299</v>
      </c>
      <c r="S180" s="91">
        <v>124.53220557766799</v>
      </c>
      <c r="T180" s="91">
        <v>115.600976854892</v>
      </c>
      <c r="U180" s="91">
        <v>175.14560243629501</v>
      </c>
      <c r="V180" s="91">
        <v>141.069093262991</v>
      </c>
      <c r="W180" s="91">
        <v>150.54170958225299</v>
      </c>
      <c r="X180" s="91">
        <v>57.241336422277897</v>
      </c>
      <c r="Y180" s="91">
        <v>138.11034566113699</v>
      </c>
      <c r="Z180" s="91">
        <v>116.421426328697</v>
      </c>
      <c r="AA180" s="91">
        <v>114.905578705487</v>
      </c>
      <c r="AB180" s="91">
        <v>82.523437113840899</v>
      </c>
      <c r="AC180" s="91">
        <v>162.30611139942499</v>
      </c>
      <c r="AD180" s="91">
        <v>117.198674259939</v>
      </c>
      <c r="AE180" s="91">
        <v>130.96064754311499</v>
      </c>
      <c r="AF180" s="91">
        <v>61.284274851636397</v>
      </c>
      <c r="AG180" s="91">
        <v>169.31333537644099</v>
      </c>
      <c r="AH180" s="91">
        <v>115.600976864651</v>
      </c>
      <c r="AI180" s="91">
        <v>116.421426328698</v>
      </c>
      <c r="AJ180" s="91">
        <v>95.481730412708103</v>
      </c>
      <c r="AK180" s="91">
        <v>168.635014669052</v>
      </c>
      <c r="AL180" s="91">
        <v>132.09741775671301</v>
      </c>
      <c r="AM180" s="91">
        <v>147.38662637313399</v>
      </c>
    </row>
    <row r="181" spans="2:39">
      <c r="B181" s="91" t="s">
        <v>1016</v>
      </c>
      <c r="C181" s="91" t="s">
        <v>1027</v>
      </c>
      <c r="D181" s="91" t="s">
        <v>310</v>
      </c>
      <c r="E181" s="91" t="s">
        <v>244</v>
      </c>
      <c r="F181" s="18" t="s">
        <v>1024</v>
      </c>
      <c r="G181" s="91">
        <f t="shared" si="5"/>
        <v>110.78580828076795</v>
      </c>
      <c r="H181" s="91">
        <v>66.204783356648903</v>
      </c>
      <c r="I181" s="91">
        <v>151.26033962801301</v>
      </c>
      <c r="J181" s="91">
        <v>99.941134147869107</v>
      </c>
      <c r="K181" s="91">
        <v>99.771070634391094</v>
      </c>
      <c r="L181" s="91">
        <v>70.795258637480202</v>
      </c>
      <c r="M181" s="91">
        <v>165.403897948837</v>
      </c>
      <c r="N181" s="91">
        <v>111.015096828574</v>
      </c>
      <c r="O181" s="91">
        <v>98.451722606162306</v>
      </c>
      <c r="P181" s="91">
        <v>85.428579701861906</v>
      </c>
      <c r="Q181" s="91">
        <v>151.39906364242901</v>
      </c>
      <c r="R181" s="91">
        <v>113.99884945439</v>
      </c>
      <c r="S181" s="91">
        <v>104.374193046725</v>
      </c>
      <c r="T181" s="91">
        <v>96.0428480413036</v>
      </c>
      <c r="U181" s="91">
        <v>154.987589905352</v>
      </c>
      <c r="V181" s="91">
        <v>120.91108073204801</v>
      </c>
      <c r="W181" s="91">
        <v>131.11834851209301</v>
      </c>
      <c r="X181" s="91">
        <v>53.3232320515176</v>
      </c>
      <c r="Y181" s="91">
        <v>118.652487100442</v>
      </c>
      <c r="Z181" s="91">
        <v>97.523035086247106</v>
      </c>
      <c r="AA181" s="91">
        <v>94.747566174543493</v>
      </c>
      <c r="AB181" s="91">
        <v>62.8012608419697</v>
      </c>
      <c r="AC181" s="91">
        <v>142.14809886848201</v>
      </c>
      <c r="AD181" s="91">
        <v>98.451722606162306</v>
      </c>
      <c r="AE181" s="91">
        <v>112.213695889338</v>
      </c>
      <c r="AF181" s="91">
        <v>53.559149026941803</v>
      </c>
      <c r="AG181" s="91">
        <v>149.15532284549701</v>
      </c>
      <c r="AH181" s="91">
        <v>96.0428480413036</v>
      </c>
      <c r="AI181" s="91">
        <v>97.523035086247106</v>
      </c>
      <c r="AJ181" s="91">
        <v>75.752053031033597</v>
      </c>
      <c r="AK181" s="91">
        <v>149.84389938750999</v>
      </c>
      <c r="AL181" s="91">
        <v>111.93940522577</v>
      </c>
      <c r="AM181" s="91">
        <v>128.639674719357</v>
      </c>
    </row>
    <row r="182" spans="2:39">
      <c r="B182" s="91" t="s">
        <v>1016</v>
      </c>
      <c r="C182" s="91" t="s">
        <v>1027</v>
      </c>
      <c r="D182" s="91" t="s">
        <v>1025</v>
      </c>
      <c r="E182" s="91" t="s">
        <v>244</v>
      </c>
      <c r="F182" s="18" t="s">
        <v>1017</v>
      </c>
      <c r="G182" s="91">
        <v>62.474018124537103</v>
      </c>
    </row>
    <row r="183" spans="2:39">
      <c r="B183" s="91" t="s">
        <v>1016</v>
      </c>
      <c r="C183" s="91" t="s">
        <v>1027</v>
      </c>
      <c r="D183" s="91" t="s">
        <v>1025</v>
      </c>
      <c r="E183" s="91" t="s">
        <v>244</v>
      </c>
      <c r="F183" s="18" t="s">
        <v>1018</v>
      </c>
      <c r="G183" s="91">
        <v>60.132703965391798</v>
      </c>
    </row>
    <row r="184" spans="2:39">
      <c r="B184" s="91" t="s">
        <v>1016</v>
      </c>
      <c r="C184" s="91" t="s">
        <v>1027</v>
      </c>
      <c r="D184" s="91" t="s">
        <v>1025</v>
      </c>
      <c r="E184" s="91" t="s">
        <v>244</v>
      </c>
      <c r="F184" s="18" t="s">
        <v>1019</v>
      </c>
      <c r="G184" s="91">
        <v>82.100677011165402</v>
      </c>
    </row>
    <row r="185" spans="2:39">
      <c r="B185" s="91" t="s">
        <v>1016</v>
      </c>
      <c r="C185" s="91" t="s">
        <v>1027</v>
      </c>
      <c r="D185" s="91" t="s">
        <v>1025</v>
      </c>
      <c r="E185" s="91" t="s">
        <v>244</v>
      </c>
      <c r="F185" s="18" t="s">
        <v>1020</v>
      </c>
      <c r="G185" s="91">
        <v>94.893022338217406</v>
      </c>
    </row>
    <row r="186" spans="2:39">
      <c r="B186" s="91" t="s">
        <v>1016</v>
      </c>
      <c r="C186" s="91" t="s">
        <v>1027</v>
      </c>
      <c r="D186" s="91" t="s">
        <v>1025</v>
      </c>
      <c r="E186" s="91" t="s">
        <v>244</v>
      </c>
      <c r="F186" s="18" t="s">
        <v>1021</v>
      </c>
      <c r="G186" s="91">
        <v>107.07647853876</v>
      </c>
    </row>
    <row r="187" spans="2:39">
      <c r="B187" s="91" t="s">
        <v>1016</v>
      </c>
      <c r="C187" s="91" t="s">
        <v>1027</v>
      </c>
      <c r="D187" s="91" t="s">
        <v>1025</v>
      </c>
      <c r="E187" s="91" t="s">
        <v>244</v>
      </c>
      <c r="F187" s="18" t="s">
        <v>1022</v>
      </c>
      <c r="G187" s="91">
        <v>116.17622969372199</v>
      </c>
    </row>
    <row r="188" spans="2:39">
      <c r="B188" s="91" t="s">
        <v>1016</v>
      </c>
      <c r="C188" s="91" t="s">
        <v>1027</v>
      </c>
      <c r="D188" s="91" t="s">
        <v>1025</v>
      </c>
      <c r="E188" s="91" t="s">
        <v>244</v>
      </c>
      <c r="F188" s="18" t="s">
        <v>1023</v>
      </c>
      <c r="G188" s="91">
        <v>125.265301729638</v>
      </c>
    </row>
    <row r="189" spans="2:39">
      <c r="B189" s="91" t="s">
        <v>1016</v>
      </c>
      <c r="C189" s="91" t="s">
        <v>1027</v>
      </c>
      <c r="D189" s="91" t="s">
        <v>1025</v>
      </c>
      <c r="E189" s="91" t="s">
        <v>244</v>
      </c>
      <c r="F189" s="18" t="s">
        <v>1024</v>
      </c>
      <c r="G189" s="91">
        <v>127.62915842520999</v>
      </c>
    </row>
    <row r="190" spans="2:39">
      <c r="B190" s="91" t="s">
        <v>1016</v>
      </c>
      <c r="C190" s="91" t="s">
        <v>1027</v>
      </c>
      <c r="D190" s="91" t="s">
        <v>311</v>
      </c>
      <c r="E190" s="91" t="s">
        <v>244</v>
      </c>
      <c r="F190" s="18" t="s">
        <v>1017</v>
      </c>
      <c r="G190" s="91">
        <f t="shared" ref="G190:G197" si="6">SUMPRODUCT(H190:AM190,$H$5:$AM$5)</f>
        <v>57.571985968370903</v>
      </c>
      <c r="N190" s="91">
        <v>1509.9718475536799</v>
      </c>
    </row>
    <row r="191" spans="2:39">
      <c r="B191" s="91" t="s">
        <v>1016</v>
      </c>
      <c r="C191" s="91" t="s">
        <v>1027</v>
      </c>
      <c r="D191" s="91" t="s">
        <v>311</v>
      </c>
      <c r="E191" s="91" t="s">
        <v>244</v>
      </c>
      <c r="F191" s="18" t="s">
        <v>1018</v>
      </c>
      <c r="G191" s="91">
        <f t="shared" si="6"/>
        <v>115.02025609414099</v>
      </c>
      <c r="H191" s="91">
        <v>172.96047260748301</v>
      </c>
      <c r="I191" s="91">
        <v>168.73216939183899</v>
      </c>
      <c r="J191" s="91">
        <v>170.934207693589</v>
      </c>
      <c r="K191" s="91">
        <v>79.824927655659494</v>
      </c>
      <c r="L191" s="91">
        <v>171.37978415246201</v>
      </c>
      <c r="M191" s="91">
        <v>170.934207693589</v>
      </c>
      <c r="N191" s="91">
        <v>79.824927655659494</v>
      </c>
      <c r="O191" s="91">
        <v>79.824927655659494</v>
      </c>
      <c r="P191" s="91">
        <v>170.934207693589</v>
      </c>
      <c r="Q191" s="91">
        <v>170.934207693589</v>
      </c>
      <c r="R191" s="91">
        <v>168.73216939183899</v>
      </c>
      <c r="S191" s="91">
        <v>79.824927655659494</v>
      </c>
      <c r="T191" s="91">
        <v>170.934207693589</v>
      </c>
      <c r="U191" s="91">
        <v>170.934207693589</v>
      </c>
      <c r="V191" s="91">
        <v>79.824927655659494</v>
      </c>
      <c r="W191" s="91">
        <v>168.73216939183899</v>
      </c>
      <c r="X191" s="91">
        <v>170.934207693589</v>
      </c>
      <c r="Y191" s="91">
        <v>168.73216939183899</v>
      </c>
      <c r="Z191" s="91">
        <v>170.934207693589</v>
      </c>
      <c r="AA191" s="91">
        <v>79.994017302702403</v>
      </c>
      <c r="AB191" s="91">
        <v>170.934207693589</v>
      </c>
      <c r="AC191" s="91">
        <v>79.824927655659494</v>
      </c>
      <c r="AD191" s="91">
        <v>79.824927655659494</v>
      </c>
      <c r="AE191" s="91">
        <v>170.934207693589</v>
      </c>
      <c r="AF191" s="91">
        <v>170.934207693589</v>
      </c>
      <c r="AG191" s="91">
        <v>170.934207693589</v>
      </c>
      <c r="AH191" s="91">
        <v>79.824927655659494</v>
      </c>
      <c r="AI191" s="91">
        <v>96.621306730891604</v>
      </c>
      <c r="AJ191" s="91">
        <v>170.934207693589</v>
      </c>
      <c r="AK191" s="91">
        <v>79.824927655659494</v>
      </c>
      <c r="AL191" s="91">
        <v>79.824927655659494</v>
      </c>
      <c r="AM191" s="91">
        <v>79.824927655659494</v>
      </c>
    </row>
    <row r="192" spans="2:39">
      <c r="B192" s="91" t="s">
        <v>1016</v>
      </c>
      <c r="C192" s="91" t="s">
        <v>1027</v>
      </c>
      <c r="D192" s="91" t="s">
        <v>311</v>
      </c>
      <c r="E192" s="91" t="s">
        <v>244</v>
      </c>
      <c r="F192" s="18" t="s">
        <v>1019</v>
      </c>
      <c r="G192" s="91">
        <f t="shared" si="6"/>
        <v>146.33141516646106</v>
      </c>
      <c r="H192" s="91">
        <v>141.07177592981</v>
      </c>
      <c r="I192" s="91">
        <v>167.09119727407401</v>
      </c>
      <c r="J192" s="91">
        <v>138.93074419301499</v>
      </c>
      <c r="K192" s="91">
        <v>138.93074419301499</v>
      </c>
      <c r="L192" s="91">
        <v>141.07177592981</v>
      </c>
      <c r="M192" s="91">
        <v>138.93074419301499</v>
      </c>
      <c r="N192" s="91">
        <v>138.93074419301499</v>
      </c>
      <c r="O192" s="91">
        <v>138.93074419301499</v>
      </c>
      <c r="P192" s="91">
        <v>167.09119727407401</v>
      </c>
      <c r="Q192" s="91">
        <v>167.09119727407401</v>
      </c>
      <c r="R192" s="91">
        <v>167.09119727407401</v>
      </c>
      <c r="S192" s="91">
        <v>151.97694934194899</v>
      </c>
      <c r="T192" s="91">
        <v>138.93074419301499</v>
      </c>
      <c r="U192" s="91">
        <v>141.07177592981</v>
      </c>
      <c r="V192" s="91">
        <v>138.93074419301499</v>
      </c>
      <c r="W192" s="91">
        <v>138.93074419301499</v>
      </c>
      <c r="X192" s="91">
        <v>338.63237399554299</v>
      </c>
      <c r="Y192" s="91">
        <v>167.09119727407401</v>
      </c>
      <c r="Z192" s="91">
        <v>167.09119727407401</v>
      </c>
      <c r="AA192" s="91">
        <v>138.93074419301499</v>
      </c>
      <c r="AB192" s="91">
        <v>167.09119727407401</v>
      </c>
      <c r="AC192" s="91">
        <v>167.09119727407401</v>
      </c>
      <c r="AD192" s="91">
        <v>151.97694934194899</v>
      </c>
      <c r="AE192" s="91">
        <v>138.93074419301499</v>
      </c>
      <c r="AF192" s="91">
        <v>138.93074419301499</v>
      </c>
      <c r="AG192" s="91">
        <v>338.63237399554299</v>
      </c>
      <c r="AH192" s="91">
        <v>151.97694934194899</v>
      </c>
      <c r="AI192" s="91">
        <v>167.09119727407401</v>
      </c>
      <c r="AJ192" s="91">
        <v>138.93074419301499</v>
      </c>
      <c r="AK192" s="91">
        <v>167.09119727407401</v>
      </c>
      <c r="AL192" s="91">
        <v>138.93074419301499</v>
      </c>
      <c r="AM192" s="91">
        <v>154.60040735285901</v>
      </c>
    </row>
    <row r="193" spans="2:39">
      <c r="B193" s="91" t="s">
        <v>1016</v>
      </c>
      <c r="C193" s="91" t="s">
        <v>1027</v>
      </c>
      <c r="D193" s="91" t="s">
        <v>311</v>
      </c>
      <c r="E193" s="91" t="s">
        <v>244</v>
      </c>
      <c r="F193" s="18" t="s">
        <v>1020</v>
      </c>
      <c r="G193" s="91">
        <f t="shared" si="6"/>
        <v>136.04127353764201</v>
      </c>
      <c r="H193" s="91">
        <v>136.04127353764201</v>
      </c>
      <c r="I193" s="91">
        <v>136.04127353764201</v>
      </c>
      <c r="J193" s="91">
        <v>136.04127353764201</v>
      </c>
      <c r="K193" s="91">
        <v>136.04127353764201</v>
      </c>
      <c r="L193" s="91">
        <v>136.04127353764201</v>
      </c>
      <c r="M193" s="91">
        <v>136.04127353764201</v>
      </c>
      <c r="N193" s="91">
        <v>136.04127353764201</v>
      </c>
      <c r="O193" s="91">
        <v>136.04127353764201</v>
      </c>
      <c r="P193" s="91">
        <v>136.04127353764201</v>
      </c>
      <c r="Q193" s="91">
        <v>136.04127353764201</v>
      </c>
      <c r="R193" s="91">
        <v>136.04127353764201</v>
      </c>
      <c r="S193" s="91">
        <v>136.04127353764201</v>
      </c>
      <c r="T193" s="91">
        <v>136.04127353764201</v>
      </c>
      <c r="U193" s="91">
        <v>136.04127353764201</v>
      </c>
      <c r="V193" s="91">
        <v>136.04127353764201</v>
      </c>
      <c r="W193" s="91">
        <v>136.04127353764201</v>
      </c>
      <c r="X193" s="91">
        <v>136.04127353764201</v>
      </c>
      <c r="Y193" s="91">
        <v>136.04127353764201</v>
      </c>
      <c r="Z193" s="91">
        <v>136.04127353764201</v>
      </c>
      <c r="AA193" s="91">
        <v>136.04127353764201</v>
      </c>
      <c r="AB193" s="91">
        <v>136.04127353764201</v>
      </c>
      <c r="AC193" s="91">
        <v>136.04127353764201</v>
      </c>
      <c r="AD193" s="91">
        <v>136.04127353764201</v>
      </c>
      <c r="AE193" s="91">
        <v>136.04127353764201</v>
      </c>
      <c r="AF193" s="91">
        <v>136.04127353764201</v>
      </c>
      <c r="AG193" s="91">
        <v>136.04127353764201</v>
      </c>
      <c r="AH193" s="91">
        <v>136.04127353764201</v>
      </c>
      <c r="AI193" s="91">
        <v>136.04127353764201</v>
      </c>
      <c r="AJ193" s="91">
        <v>136.04127353764201</v>
      </c>
      <c r="AK193" s="91">
        <v>136.04127353764201</v>
      </c>
      <c r="AL193" s="91">
        <v>136.04127353764201</v>
      </c>
      <c r="AM193" s="91">
        <v>136.04127353764201</v>
      </c>
    </row>
    <row r="194" spans="2:39">
      <c r="B194" s="91" t="s">
        <v>1016</v>
      </c>
      <c r="C194" s="91" t="s">
        <v>1027</v>
      </c>
      <c r="D194" s="91" t="s">
        <v>311</v>
      </c>
      <c r="E194" s="91" t="s">
        <v>244</v>
      </c>
      <c r="F194" s="18" t="s">
        <v>1021</v>
      </c>
      <c r="G194" s="91">
        <f t="shared" si="6"/>
        <v>117.43394649122786</v>
      </c>
      <c r="H194" s="91">
        <v>117.433946491228</v>
      </c>
      <c r="I194" s="91">
        <v>117.433946491228</v>
      </c>
      <c r="J194" s="91">
        <v>117.433946491228</v>
      </c>
      <c r="K194" s="91">
        <v>117.433946491228</v>
      </c>
      <c r="L194" s="91">
        <v>117.433946491228</v>
      </c>
      <c r="M194" s="91">
        <v>117.433946491227</v>
      </c>
      <c r="N194" s="91">
        <v>117.433946491228</v>
      </c>
      <c r="O194" s="91">
        <v>117.433946491227</v>
      </c>
      <c r="P194" s="91">
        <v>117.433946491228</v>
      </c>
      <c r="Q194" s="91">
        <v>117.433946491228</v>
      </c>
      <c r="R194" s="91">
        <v>117.433946491227</v>
      </c>
      <c r="S194" s="91">
        <v>117.433946491228</v>
      </c>
      <c r="T194" s="91">
        <v>117.433946491228</v>
      </c>
      <c r="U194" s="91">
        <v>117.433946491228</v>
      </c>
      <c r="V194" s="91">
        <v>117.433946491228</v>
      </c>
      <c r="W194" s="91">
        <v>117.433946491228</v>
      </c>
      <c r="X194" s="91">
        <v>117.433946491228</v>
      </c>
      <c r="Y194" s="91">
        <v>117.433946491228</v>
      </c>
      <c r="Z194" s="91">
        <v>117.433946491228</v>
      </c>
      <c r="AA194" s="91">
        <v>117.433946491228</v>
      </c>
      <c r="AB194" s="91">
        <v>117.433946491228</v>
      </c>
      <c r="AC194" s="91">
        <v>117.433946491228</v>
      </c>
      <c r="AD194" s="91">
        <v>117.433946491228</v>
      </c>
      <c r="AE194" s="91">
        <v>117.433946491228</v>
      </c>
      <c r="AF194" s="91">
        <v>117.433946491228</v>
      </c>
      <c r="AG194" s="91">
        <v>117.433946491227</v>
      </c>
      <c r="AH194" s="91">
        <v>117.433946491227</v>
      </c>
      <c r="AI194" s="91">
        <v>117.433946491227</v>
      </c>
      <c r="AJ194" s="91">
        <v>117.433946491228</v>
      </c>
      <c r="AK194" s="91">
        <v>117.433946491228</v>
      </c>
      <c r="AL194" s="91">
        <v>117.433946491228</v>
      </c>
      <c r="AM194" s="91">
        <v>117.433946491228</v>
      </c>
    </row>
    <row r="195" spans="2:39">
      <c r="B195" s="91" t="s">
        <v>1016</v>
      </c>
      <c r="C195" s="91" t="s">
        <v>1027</v>
      </c>
      <c r="D195" s="91" t="s">
        <v>311</v>
      </c>
      <c r="E195" s="91" t="s">
        <v>244</v>
      </c>
      <c r="F195" s="18" t="s">
        <v>1022</v>
      </c>
      <c r="G195" s="91">
        <f t="shared" si="6"/>
        <v>107.56969818762771</v>
      </c>
      <c r="H195" s="91">
        <v>107.56969818762801</v>
      </c>
      <c r="I195" s="91">
        <v>107.56969818762801</v>
      </c>
      <c r="J195" s="91">
        <v>107.569698187627</v>
      </c>
      <c r="K195" s="91">
        <v>107.56969818762801</v>
      </c>
      <c r="L195" s="91">
        <v>107.56969818762801</v>
      </c>
      <c r="M195" s="91">
        <v>107.56969818762801</v>
      </c>
      <c r="N195" s="91">
        <v>107.569698187627</v>
      </c>
      <c r="O195" s="91">
        <v>107.56969818762801</v>
      </c>
      <c r="P195" s="91">
        <v>107.56969818762801</v>
      </c>
      <c r="Q195" s="91">
        <v>107.56969818762801</v>
      </c>
      <c r="R195" s="91">
        <v>107.56969818762801</v>
      </c>
      <c r="S195" s="91">
        <v>107.569698187627</v>
      </c>
      <c r="T195" s="91">
        <v>107.56969818762801</v>
      </c>
      <c r="U195" s="91">
        <v>107.56969818762801</v>
      </c>
      <c r="V195" s="91">
        <v>107.56969818762801</v>
      </c>
      <c r="W195" s="91">
        <v>107.569698187627</v>
      </c>
      <c r="X195" s="91">
        <v>107.56969818762801</v>
      </c>
      <c r="Y195" s="91">
        <v>107.56969818762801</v>
      </c>
      <c r="Z195" s="91">
        <v>107.56969818762801</v>
      </c>
      <c r="AA195" s="91">
        <v>107.56969818762801</v>
      </c>
      <c r="AB195" s="91">
        <v>107.569698187627</v>
      </c>
      <c r="AC195" s="91">
        <v>107.56969818762801</v>
      </c>
      <c r="AD195" s="91">
        <v>107.56969818762801</v>
      </c>
      <c r="AE195" s="91">
        <v>107.56969818762801</v>
      </c>
      <c r="AF195" s="91">
        <v>107.56969818762801</v>
      </c>
      <c r="AG195" s="91">
        <v>107.56969818762801</v>
      </c>
      <c r="AH195" s="91">
        <v>107.56969818762801</v>
      </c>
      <c r="AI195" s="91">
        <v>107.56969818762801</v>
      </c>
      <c r="AJ195" s="91">
        <v>107.56969818762801</v>
      </c>
      <c r="AK195" s="91">
        <v>107.56969818762801</v>
      </c>
      <c r="AL195" s="91">
        <v>107.56969818762801</v>
      </c>
      <c r="AM195" s="91">
        <v>107.569698187627</v>
      </c>
    </row>
    <row r="196" spans="2:39">
      <c r="B196" s="91" t="s">
        <v>1016</v>
      </c>
      <c r="C196" s="91" t="s">
        <v>1027</v>
      </c>
      <c r="D196" s="91" t="s">
        <v>311</v>
      </c>
      <c r="E196" s="91" t="s">
        <v>244</v>
      </c>
      <c r="F196" s="18" t="s">
        <v>1023</v>
      </c>
      <c r="G196" s="91">
        <f t="shared" si="6"/>
        <v>114.76109571155074</v>
      </c>
      <c r="H196" s="91">
        <v>114.76109571155099</v>
      </c>
      <c r="I196" s="91">
        <v>114.76109571155099</v>
      </c>
      <c r="J196" s="91">
        <v>114.76109571155099</v>
      </c>
      <c r="K196" s="91">
        <v>114.76109571155</v>
      </c>
      <c r="L196" s="91">
        <v>114.76109571155099</v>
      </c>
      <c r="M196" s="91">
        <v>114.76109571155099</v>
      </c>
      <c r="N196" s="91">
        <v>114.76109571155099</v>
      </c>
      <c r="O196" s="91">
        <v>114.76109571155099</v>
      </c>
      <c r="P196" s="91">
        <v>114.76109571155099</v>
      </c>
      <c r="Q196" s="91">
        <v>114.76109571155099</v>
      </c>
      <c r="R196" s="91">
        <v>114.76109571155099</v>
      </c>
      <c r="S196" s="91">
        <v>114.76109571155</v>
      </c>
      <c r="T196" s="91">
        <v>114.76109571155099</v>
      </c>
      <c r="U196" s="91">
        <v>114.76109571155099</v>
      </c>
      <c r="V196" s="91">
        <v>114.76109571155099</v>
      </c>
      <c r="W196" s="91">
        <v>114.76109571155099</v>
      </c>
      <c r="X196" s="91">
        <v>114.76109571155099</v>
      </c>
      <c r="Y196" s="91">
        <v>114.76109571155099</v>
      </c>
      <c r="Z196" s="91">
        <v>114.76109571155099</v>
      </c>
      <c r="AA196" s="91">
        <v>114.76109571155099</v>
      </c>
      <c r="AB196" s="91">
        <v>114.76109571155099</v>
      </c>
      <c r="AC196" s="91">
        <v>114.76109571155099</v>
      </c>
      <c r="AD196" s="91">
        <v>114.76109571155</v>
      </c>
      <c r="AE196" s="91">
        <v>114.76109571155099</v>
      </c>
      <c r="AF196" s="91">
        <v>114.76109571155099</v>
      </c>
      <c r="AG196" s="91">
        <v>114.76109571155</v>
      </c>
      <c r="AH196" s="91">
        <v>114.76109571155</v>
      </c>
      <c r="AI196" s="91">
        <v>114.76109571155</v>
      </c>
      <c r="AJ196" s="91">
        <v>114.76109571155099</v>
      </c>
      <c r="AK196" s="91">
        <v>114.76109571155099</v>
      </c>
      <c r="AL196" s="91">
        <v>114.76109571155099</v>
      </c>
      <c r="AM196" s="91">
        <v>114.76109571155099</v>
      </c>
    </row>
    <row r="197" spans="2:39">
      <c r="B197" s="91" t="s">
        <v>1016</v>
      </c>
      <c r="C197" s="91" t="s">
        <v>1027</v>
      </c>
      <c r="D197" s="91" t="s">
        <v>311</v>
      </c>
      <c r="E197" s="91" t="s">
        <v>244</v>
      </c>
      <c r="F197" s="18" t="s">
        <v>1024</v>
      </c>
      <c r="G197" s="91">
        <f t="shared" si="6"/>
        <v>94.519051955963306</v>
      </c>
      <c r="H197" s="91">
        <v>94.519051955963405</v>
      </c>
      <c r="I197" s="91">
        <v>94.519051955963405</v>
      </c>
      <c r="J197" s="91">
        <v>94.519051955963405</v>
      </c>
      <c r="K197" s="91">
        <v>94.519051955963405</v>
      </c>
      <c r="L197" s="91">
        <v>94.519051955963405</v>
      </c>
      <c r="M197" s="91">
        <v>94.519051955963405</v>
      </c>
      <c r="N197" s="91">
        <v>94.519051955963107</v>
      </c>
      <c r="O197" s="91">
        <v>94.519051955963107</v>
      </c>
      <c r="P197" s="91">
        <v>94.519051955963405</v>
      </c>
      <c r="Q197" s="91">
        <v>94.519051955963405</v>
      </c>
      <c r="R197" s="91">
        <v>94.519051955963405</v>
      </c>
      <c r="S197" s="91">
        <v>94.519051955963405</v>
      </c>
      <c r="T197" s="91">
        <v>94.519051955963405</v>
      </c>
      <c r="U197" s="91">
        <v>94.519051955963405</v>
      </c>
      <c r="V197" s="91">
        <v>94.519051955963405</v>
      </c>
      <c r="W197" s="91">
        <v>94.519051955963107</v>
      </c>
      <c r="X197" s="91">
        <v>94.519051955963405</v>
      </c>
      <c r="Y197" s="91">
        <v>94.519051955963405</v>
      </c>
      <c r="Z197" s="91">
        <v>94.519051955963405</v>
      </c>
      <c r="AA197" s="91">
        <v>94.519051955963405</v>
      </c>
      <c r="AB197" s="91">
        <v>94.519051955963405</v>
      </c>
      <c r="AC197" s="91">
        <v>94.519051955963405</v>
      </c>
      <c r="AD197" s="91">
        <v>94.519051955963405</v>
      </c>
      <c r="AE197" s="91">
        <v>94.519051955963107</v>
      </c>
      <c r="AF197" s="91">
        <v>94.519051955963405</v>
      </c>
      <c r="AG197" s="91">
        <v>94.519051955963107</v>
      </c>
      <c r="AH197" s="91">
        <v>94.519051955963107</v>
      </c>
      <c r="AI197" s="91">
        <v>94.519051955963107</v>
      </c>
      <c r="AJ197" s="91">
        <v>94.519051955963405</v>
      </c>
      <c r="AK197" s="91">
        <v>94.519051955963405</v>
      </c>
      <c r="AL197" s="91">
        <v>94.519051955963107</v>
      </c>
      <c r="AM197" s="91">
        <v>94.519051955963405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70C0"/>
  </sheetPr>
  <dimension ref="B2:Q27"/>
  <sheetViews>
    <sheetView workbookViewId="0">
      <selection activeCell="B41" sqref="B41"/>
    </sheetView>
  </sheetViews>
  <sheetFormatPr defaultColWidth="8.88671875" defaultRowHeight="14.4"/>
  <cols>
    <col min="1" max="2" width="8.88671875" style="91"/>
    <col min="3" max="7" width="13.44140625" style="91" customWidth="1"/>
    <col min="8" max="16384" width="8.88671875" style="91"/>
  </cols>
  <sheetData>
    <row r="2" spans="2:11">
      <c r="B2" s="10" t="s">
        <v>71</v>
      </c>
    </row>
    <row r="4" spans="2:11">
      <c r="C4" s="13" t="s">
        <v>149</v>
      </c>
    </row>
    <row r="5" spans="2:11">
      <c r="B5" s="91" t="s">
        <v>150</v>
      </c>
      <c r="C5" s="11" t="s">
        <v>155</v>
      </c>
      <c r="I5" s="91" t="s">
        <v>117</v>
      </c>
    </row>
    <row r="6" spans="2:11">
      <c r="B6" s="91" t="s">
        <v>151</v>
      </c>
      <c r="C6" s="11" t="s">
        <v>156</v>
      </c>
    </row>
    <row r="7" spans="2:11">
      <c r="B7" s="91" t="s">
        <v>152</v>
      </c>
      <c r="C7" s="11" t="s">
        <v>156</v>
      </c>
    </row>
    <row r="9" spans="2:11" ht="15" thickBot="1">
      <c r="C9" s="21" t="s">
        <v>148</v>
      </c>
      <c r="D9" s="9"/>
      <c r="F9" s="21" t="s">
        <v>153</v>
      </c>
      <c r="G9" s="9"/>
      <c r="J9" s="21" t="s">
        <v>154</v>
      </c>
      <c r="K9" s="9"/>
    </row>
    <row r="10" spans="2:11" ht="21" thickBot="1">
      <c r="C10" s="14" t="s">
        <v>142</v>
      </c>
      <c r="D10" s="15" t="s">
        <v>73</v>
      </c>
      <c r="F10" s="14" t="s">
        <v>142</v>
      </c>
      <c r="G10" s="15" t="s">
        <v>73</v>
      </c>
      <c r="J10" s="14" t="s">
        <v>142</v>
      </c>
      <c r="K10" s="15" t="s">
        <v>73</v>
      </c>
    </row>
    <row r="11" spans="2:11" ht="21" thickBot="1">
      <c r="C11" s="171" t="s">
        <v>143</v>
      </c>
      <c r="D11" s="16" t="s">
        <v>146</v>
      </c>
      <c r="F11" s="171" t="s">
        <v>163</v>
      </c>
      <c r="G11" s="16" t="s">
        <v>165</v>
      </c>
      <c r="J11" s="171" t="s">
        <v>161</v>
      </c>
      <c r="K11" s="16" t="s">
        <v>162</v>
      </c>
    </row>
    <row r="12" spans="2:11" ht="21" thickBot="1">
      <c r="C12" s="171" t="s">
        <v>144</v>
      </c>
      <c r="D12" s="16" t="s">
        <v>136</v>
      </c>
      <c r="F12" s="171" t="s">
        <v>164</v>
      </c>
      <c r="G12" s="16" t="s">
        <v>166</v>
      </c>
      <c r="J12" s="171" t="s">
        <v>160</v>
      </c>
      <c r="K12" s="16" t="s">
        <v>102</v>
      </c>
    </row>
    <row r="13" spans="2:11" ht="15" thickBot="1">
      <c r="C13" s="171" t="s">
        <v>145</v>
      </c>
      <c r="D13" s="16" t="s">
        <v>147</v>
      </c>
      <c r="F13" s="53"/>
      <c r="G13" s="53"/>
    </row>
    <row r="14" spans="2:11">
      <c r="C14" s="53"/>
      <c r="D14" s="53"/>
      <c r="F14" s="53"/>
      <c r="G14" s="53"/>
    </row>
    <row r="15" spans="2:11">
      <c r="C15" s="53"/>
      <c r="D15" s="53"/>
      <c r="F15" s="53"/>
      <c r="G15" s="53"/>
    </row>
    <row r="16" spans="2:11">
      <c r="C16" s="53"/>
      <c r="D16" s="53"/>
      <c r="F16" s="53"/>
      <c r="G16" s="53"/>
    </row>
    <row r="17" spans="3:17">
      <c r="C17" s="53"/>
      <c r="D17" s="53"/>
      <c r="E17" s="53"/>
      <c r="F17" s="53"/>
      <c r="G17" s="53"/>
      <c r="H17" s="53"/>
      <c r="I17" s="53"/>
      <c r="J17" s="53"/>
    </row>
    <row r="18" spans="3:17">
      <c r="C18" s="21" t="s">
        <v>109</v>
      </c>
    </row>
    <row r="19" spans="3:17" ht="15" thickBot="1">
      <c r="C19" s="17"/>
      <c r="D19" s="18" t="s">
        <v>25</v>
      </c>
    </row>
    <row r="20" spans="3:17">
      <c r="C20" s="391" t="s">
        <v>76</v>
      </c>
      <c r="D20" s="391" t="s">
        <v>77</v>
      </c>
      <c r="E20" s="391" t="s">
        <v>78</v>
      </c>
      <c r="F20" s="391" t="s">
        <v>79</v>
      </c>
      <c r="G20" s="391" t="s">
        <v>80</v>
      </c>
      <c r="H20" s="391" t="s">
        <v>81</v>
      </c>
      <c r="I20" s="391" t="s">
        <v>82</v>
      </c>
      <c r="J20" s="391" t="s">
        <v>83</v>
      </c>
      <c r="K20" s="19" t="s">
        <v>84</v>
      </c>
      <c r="L20" s="19" t="s">
        <v>86</v>
      </c>
      <c r="M20" s="19" t="s">
        <v>88</v>
      </c>
      <c r="N20" s="391" t="s">
        <v>90</v>
      </c>
      <c r="O20" s="391" t="s">
        <v>91</v>
      </c>
      <c r="P20" s="393" t="s">
        <v>111</v>
      </c>
      <c r="Q20" s="395" t="s">
        <v>131</v>
      </c>
    </row>
    <row r="21" spans="3:17" ht="31.2" thickBot="1">
      <c r="C21" s="392"/>
      <c r="D21" s="392"/>
      <c r="E21" s="392"/>
      <c r="F21" s="392"/>
      <c r="G21" s="392"/>
      <c r="H21" s="392"/>
      <c r="I21" s="392"/>
      <c r="J21" s="392"/>
      <c r="K21" s="16" t="s">
        <v>85</v>
      </c>
      <c r="L21" s="16" t="s">
        <v>87</v>
      </c>
      <c r="M21" s="16" t="s">
        <v>89</v>
      </c>
      <c r="N21" s="392"/>
      <c r="O21" s="392"/>
      <c r="P21" s="394"/>
      <c r="Q21" s="396"/>
    </row>
    <row r="22" spans="3:17" ht="15" thickBot="1">
      <c r="C22" s="171" t="s">
        <v>92</v>
      </c>
      <c r="D22" s="20" t="s">
        <v>93</v>
      </c>
      <c r="E22" s="20" t="s">
        <v>94</v>
      </c>
      <c r="F22" s="20" t="s">
        <v>18</v>
      </c>
      <c r="G22" s="20" t="s">
        <v>21</v>
      </c>
      <c r="H22" s="20" t="s">
        <v>95</v>
      </c>
      <c r="I22" s="20" t="s">
        <v>96</v>
      </c>
      <c r="J22" s="20" t="s">
        <v>24</v>
      </c>
      <c r="K22" s="20" t="s">
        <v>20</v>
      </c>
      <c r="L22" s="20" t="s">
        <v>97</v>
      </c>
      <c r="M22" s="20" t="s">
        <v>23</v>
      </c>
      <c r="N22" s="20" t="s">
        <v>22</v>
      </c>
      <c r="O22" s="20" t="s">
        <v>58</v>
      </c>
      <c r="P22" s="22" t="s">
        <v>69</v>
      </c>
      <c r="Q22" s="42" t="s">
        <v>129</v>
      </c>
    </row>
    <row r="23" spans="3:17" ht="15" thickBot="1">
      <c r="C23" s="171" t="s">
        <v>98</v>
      </c>
      <c r="D23" s="16" t="s">
        <v>99</v>
      </c>
      <c r="E23" s="16" t="s">
        <v>100</v>
      </c>
      <c r="F23" s="16" t="s">
        <v>101</v>
      </c>
      <c r="G23" s="16" t="s">
        <v>72</v>
      </c>
      <c r="H23" s="16" t="s">
        <v>102</v>
      </c>
      <c r="I23" s="16" t="s">
        <v>75</v>
      </c>
      <c r="J23" s="16" t="s">
        <v>74</v>
      </c>
      <c r="K23" s="16" t="s">
        <v>103</v>
      </c>
      <c r="L23" s="16" t="s">
        <v>104</v>
      </c>
      <c r="M23" s="16" t="s">
        <v>105</v>
      </c>
      <c r="N23" s="16" t="s">
        <v>106</v>
      </c>
      <c r="O23" s="16" t="s">
        <v>107</v>
      </c>
      <c r="P23" s="23" t="s">
        <v>112</v>
      </c>
      <c r="Q23" s="43" t="s">
        <v>130</v>
      </c>
    </row>
    <row r="24" spans="3:17">
      <c r="C24" s="12"/>
    </row>
    <row r="26" spans="3:17">
      <c r="C26" s="21" t="s">
        <v>110</v>
      </c>
    </row>
    <row r="27" spans="3:17">
      <c r="C27" s="11" t="s">
        <v>108</v>
      </c>
    </row>
  </sheetData>
  <mergeCells count="12">
    <mergeCell ref="O20:O21"/>
    <mergeCell ref="P20:P21"/>
    <mergeCell ref="Q20:Q21"/>
    <mergeCell ref="C20:C21"/>
    <mergeCell ref="D20:D21"/>
    <mergeCell ref="E20:E21"/>
    <mergeCell ref="F20:F21"/>
    <mergeCell ref="G20:G21"/>
    <mergeCell ref="H20:H21"/>
    <mergeCell ref="I20:I21"/>
    <mergeCell ref="J20:J21"/>
    <mergeCell ref="N20:N21"/>
  </mergeCell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8353D-1BED-49DD-9BD3-F25ED03906EC}">
  <sheetPr>
    <tabColor theme="4" tint="0.59999389629810485"/>
  </sheetPr>
  <dimension ref="A3:AF324"/>
  <sheetViews>
    <sheetView topLeftCell="A57" workbookViewId="0">
      <selection activeCell="B40" sqref="B40"/>
    </sheetView>
  </sheetViews>
  <sheetFormatPr defaultRowHeight="14.4"/>
  <cols>
    <col min="1" max="1" width="15.6640625" bestFit="1" customWidth="1"/>
  </cols>
  <sheetData>
    <row r="3" spans="1:32" ht="57.6">
      <c r="B3" s="264" t="s">
        <v>771</v>
      </c>
      <c r="C3" s="265"/>
      <c r="D3" s="265" t="s">
        <v>1</v>
      </c>
      <c r="E3" s="265" t="s">
        <v>2</v>
      </c>
      <c r="F3" s="265" t="s">
        <v>772</v>
      </c>
      <c r="G3" s="265" t="s">
        <v>3</v>
      </c>
      <c r="H3" s="265" t="s">
        <v>4</v>
      </c>
      <c r="I3" s="266" t="s">
        <v>184</v>
      </c>
      <c r="J3" s="265" t="s">
        <v>773</v>
      </c>
      <c r="K3" s="265" t="s">
        <v>6</v>
      </c>
      <c r="L3" s="267" t="s">
        <v>968</v>
      </c>
      <c r="M3" s="267" t="s">
        <v>774</v>
      </c>
      <c r="N3" s="267" t="s">
        <v>19</v>
      </c>
      <c r="O3" s="268" t="s">
        <v>8</v>
      </c>
      <c r="P3" s="267" t="s">
        <v>9</v>
      </c>
      <c r="Q3" s="269" t="s">
        <v>10</v>
      </c>
      <c r="R3" s="269" t="s">
        <v>11</v>
      </c>
      <c r="S3" s="270" t="s">
        <v>12</v>
      </c>
      <c r="T3" s="271" t="s">
        <v>955</v>
      </c>
      <c r="U3" s="270" t="s">
        <v>775</v>
      </c>
      <c r="V3" s="270" t="s">
        <v>190</v>
      </c>
      <c r="W3" s="273"/>
      <c r="X3" s="274" t="s">
        <v>777</v>
      </c>
      <c r="Y3" s="274" t="s">
        <v>778</v>
      </c>
      <c r="Z3" s="274" t="s">
        <v>779</v>
      </c>
      <c r="AA3" s="274" t="s">
        <v>780</v>
      </c>
      <c r="AB3" s="274" t="s">
        <v>781</v>
      </c>
      <c r="AC3" s="91" t="s">
        <v>782</v>
      </c>
      <c r="AD3" s="91"/>
      <c r="AE3" s="267" t="s">
        <v>783</v>
      </c>
      <c r="AF3" s="275" t="s">
        <v>784</v>
      </c>
    </row>
    <row r="4" spans="1:32" ht="24.6" thickBot="1">
      <c r="B4" s="276"/>
      <c r="C4" s="277"/>
      <c r="D4" s="277" t="s">
        <v>13</v>
      </c>
      <c r="E4" s="278"/>
      <c r="F4" s="278"/>
      <c r="G4" s="278"/>
      <c r="H4" s="278"/>
      <c r="I4" s="279"/>
      <c r="J4" s="278"/>
      <c r="K4" s="278"/>
      <c r="L4" s="280"/>
      <c r="M4" s="280"/>
      <c r="N4" s="280"/>
      <c r="O4" s="281"/>
      <c r="P4" s="278"/>
      <c r="Q4" s="278"/>
      <c r="R4" s="278"/>
      <c r="S4" s="278"/>
      <c r="T4" s="278"/>
      <c r="U4" s="278"/>
      <c r="V4" s="279"/>
      <c r="W4" s="282"/>
      <c r="X4" s="278"/>
      <c r="Y4" s="278"/>
      <c r="Z4" s="278"/>
      <c r="AA4" s="278"/>
      <c r="AB4" s="278"/>
      <c r="AC4" s="91"/>
      <c r="AD4" s="91"/>
      <c r="AE4" s="280"/>
      <c r="AF4" s="283"/>
    </row>
    <row r="5" spans="1:32">
      <c r="B5" s="131"/>
      <c r="C5" s="91"/>
      <c r="D5" s="91" t="s">
        <v>785</v>
      </c>
      <c r="E5" s="91"/>
      <c r="F5" s="91"/>
      <c r="G5" s="91"/>
      <c r="H5" s="91"/>
      <c r="I5" s="131"/>
      <c r="J5" s="284"/>
      <c r="K5" s="284"/>
      <c r="L5" s="284"/>
      <c r="M5" s="284"/>
      <c r="N5" s="284"/>
      <c r="O5" s="284" t="s">
        <v>179</v>
      </c>
      <c r="P5" s="284" t="s">
        <v>786</v>
      </c>
      <c r="Q5" s="284" t="s">
        <v>180</v>
      </c>
      <c r="R5" s="284" t="s">
        <v>15</v>
      </c>
      <c r="S5" s="284" t="s">
        <v>15</v>
      </c>
      <c r="T5" s="284"/>
      <c r="U5" s="284"/>
      <c r="V5" s="285"/>
      <c r="W5" s="286"/>
      <c r="X5" s="284" t="s">
        <v>787</v>
      </c>
      <c r="Y5" s="284" t="s">
        <v>787</v>
      </c>
      <c r="Z5" s="284" t="s">
        <v>787</v>
      </c>
      <c r="AA5" s="284" t="s">
        <v>787</v>
      </c>
      <c r="AB5" s="284" t="s">
        <v>787</v>
      </c>
      <c r="AC5" s="91"/>
      <c r="AD5" s="91"/>
      <c r="AE5" s="284"/>
      <c r="AF5" s="287"/>
    </row>
    <row r="6" spans="1:32">
      <c r="A6" t="str">
        <f>IF(D6&gt;0,D6,A5)</f>
        <v>INDGDMTELCN1</v>
      </c>
      <c r="B6" s="131" t="s">
        <v>788</v>
      </c>
      <c r="C6" s="91"/>
      <c r="D6" s="288" t="s">
        <v>789</v>
      </c>
      <c r="E6" s="288" t="s">
        <v>790</v>
      </c>
      <c r="F6" s="91" t="s">
        <v>791</v>
      </c>
      <c r="G6" s="289" t="s">
        <v>310</v>
      </c>
      <c r="H6" s="289" t="s">
        <v>610</v>
      </c>
      <c r="I6" s="289"/>
      <c r="J6" s="290">
        <v>2020</v>
      </c>
      <c r="K6" s="290">
        <v>2020</v>
      </c>
      <c r="L6" s="291">
        <v>1</v>
      </c>
      <c r="M6" s="292">
        <v>4.4754761904761899</v>
      </c>
      <c r="N6" s="290">
        <v>20</v>
      </c>
      <c r="O6" s="293">
        <v>5.4385000000000003</v>
      </c>
      <c r="P6" s="293">
        <v>1.49E-2</v>
      </c>
      <c r="Q6" s="290">
        <v>6.7463888888888883</v>
      </c>
      <c r="R6" s="290">
        <v>3.1536000000000002E-2</v>
      </c>
      <c r="S6" s="292">
        <v>0.5</v>
      </c>
      <c r="T6" s="292">
        <v>0.15</v>
      </c>
      <c r="U6" s="292">
        <v>0.22343991062403579</v>
      </c>
      <c r="V6" s="292"/>
      <c r="W6" s="294"/>
      <c r="X6" s="295">
        <v>0</v>
      </c>
      <c r="Y6" s="290">
        <v>0</v>
      </c>
      <c r="Z6" s="290">
        <v>0</v>
      </c>
      <c r="AA6" s="290">
        <v>0</v>
      </c>
      <c r="AB6" s="290">
        <v>0</v>
      </c>
      <c r="AC6" s="91"/>
      <c r="AD6" s="91"/>
      <c r="AE6" s="290"/>
      <c r="AF6" s="287"/>
    </row>
    <row r="7" spans="1:32">
      <c r="A7" s="91" t="str">
        <f t="shared" ref="A7:A70" si="0">IF(D7&gt;0,D7,A6)</f>
        <v>INDGDMTELCN1</v>
      </c>
      <c r="B7" s="131" t="s">
        <v>788</v>
      </c>
      <c r="C7" s="91"/>
      <c r="D7" s="288"/>
      <c r="E7" s="288"/>
      <c r="F7" s="91"/>
      <c r="G7" s="289" t="s">
        <v>792</v>
      </c>
      <c r="H7" s="289"/>
      <c r="I7" s="289"/>
      <c r="J7" s="290"/>
      <c r="K7" s="290"/>
      <c r="L7" s="291"/>
      <c r="M7" s="292"/>
      <c r="N7" s="290"/>
      <c r="O7" s="293"/>
      <c r="P7" s="293"/>
      <c r="Q7" s="290"/>
      <c r="R7" s="296"/>
      <c r="S7" s="297"/>
      <c r="T7" s="297"/>
      <c r="U7" s="292">
        <v>0.77656008937596421</v>
      </c>
      <c r="V7" s="297"/>
      <c r="W7" s="294"/>
      <c r="X7" s="295"/>
      <c r="Y7" s="290"/>
      <c r="Z7" s="290"/>
      <c r="AA7" s="290"/>
      <c r="AB7" s="290"/>
      <c r="AC7" s="91"/>
      <c r="AD7" s="91"/>
      <c r="AE7" s="290"/>
      <c r="AF7" s="287"/>
    </row>
    <row r="8" spans="1:32">
      <c r="A8" s="91" t="str">
        <f t="shared" si="0"/>
        <v>INDGDMTELCN1</v>
      </c>
      <c r="B8" s="131" t="s">
        <v>788</v>
      </c>
      <c r="C8" s="91"/>
      <c r="D8" s="288"/>
      <c r="E8" s="288"/>
      <c r="F8" s="91"/>
      <c r="G8" s="289" t="s">
        <v>310</v>
      </c>
      <c r="H8" s="289" t="s">
        <v>610</v>
      </c>
      <c r="I8" s="289"/>
      <c r="J8" s="290">
        <v>2030</v>
      </c>
      <c r="K8" s="290"/>
      <c r="L8" s="291">
        <v>1</v>
      </c>
      <c r="M8" s="292">
        <v>4.5792982142857133</v>
      </c>
      <c r="N8" s="290"/>
      <c r="O8" s="293">
        <v>4.8425000000000002</v>
      </c>
      <c r="P8" s="293">
        <v>1.49E-2</v>
      </c>
      <c r="Q8" s="290">
        <v>6.6222222222222227</v>
      </c>
      <c r="R8" s="298"/>
      <c r="S8" s="298"/>
      <c r="T8" s="298"/>
      <c r="U8" s="292">
        <v>0.21837407244637849</v>
      </c>
      <c r="V8" s="292"/>
      <c r="W8" s="294"/>
      <c r="X8" s="295">
        <v>0</v>
      </c>
      <c r="Y8" s="290">
        <v>0</v>
      </c>
      <c r="Z8" s="290">
        <v>0</v>
      </c>
      <c r="AA8" s="290">
        <v>0</v>
      </c>
      <c r="AB8" s="290">
        <v>0</v>
      </c>
      <c r="AC8" s="91"/>
      <c r="AD8" s="91"/>
      <c r="AE8" s="290"/>
      <c r="AF8" s="287"/>
    </row>
    <row r="9" spans="1:32">
      <c r="A9" s="91" t="str">
        <f t="shared" si="0"/>
        <v>INDGDMTELCN1</v>
      </c>
      <c r="B9" s="131" t="s">
        <v>788</v>
      </c>
      <c r="C9" s="91"/>
      <c r="D9" s="288"/>
      <c r="E9" s="288"/>
      <c r="F9" s="91"/>
      <c r="G9" s="289" t="s">
        <v>792</v>
      </c>
      <c r="H9" s="289"/>
      <c r="I9" s="289"/>
      <c r="J9" s="290"/>
      <c r="K9" s="290"/>
      <c r="L9" s="291"/>
      <c r="M9" s="292"/>
      <c r="N9" s="290"/>
      <c r="O9" s="293"/>
      <c r="P9" s="293"/>
      <c r="Q9" s="290"/>
      <c r="R9" s="298"/>
      <c r="S9" s="298"/>
      <c r="T9" s="298"/>
      <c r="U9" s="292">
        <v>0.78162592755362148</v>
      </c>
      <c r="V9" s="298"/>
      <c r="W9" s="294"/>
      <c r="X9" s="295"/>
      <c r="Y9" s="290"/>
      <c r="Z9" s="290"/>
      <c r="AA9" s="290"/>
      <c r="AB9" s="290"/>
      <c r="AC9" s="91"/>
      <c r="AD9" s="91"/>
      <c r="AE9" s="290"/>
      <c r="AF9" s="287"/>
    </row>
    <row r="10" spans="1:32">
      <c r="A10" s="91" t="str">
        <f t="shared" si="0"/>
        <v>INDGDMTELCN1</v>
      </c>
      <c r="B10" s="131" t="s">
        <v>788</v>
      </c>
      <c r="C10" s="91"/>
      <c r="D10" s="288"/>
      <c r="E10" s="288"/>
      <c r="F10" s="91"/>
      <c r="G10" s="289" t="s">
        <v>310</v>
      </c>
      <c r="H10" s="289" t="s">
        <v>610</v>
      </c>
      <c r="I10" s="289"/>
      <c r="J10" s="290">
        <v>2050</v>
      </c>
      <c r="K10" s="290"/>
      <c r="L10" s="291">
        <v>1</v>
      </c>
      <c r="M10" s="292">
        <v>4.7191030203571422</v>
      </c>
      <c r="N10" s="290"/>
      <c r="O10" s="293">
        <v>4.3209999999999997</v>
      </c>
      <c r="P10" s="293">
        <v>1.49E-2</v>
      </c>
      <c r="Q10" s="290">
        <v>6.4566666666666661</v>
      </c>
      <c r="R10" s="298"/>
      <c r="S10" s="298"/>
      <c r="T10" s="298"/>
      <c r="U10" s="292">
        <v>0.21190467673331698</v>
      </c>
      <c r="V10" s="292"/>
      <c r="W10" s="294"/>
      <c r="X10" s="295">
        <v>0</v>
      </c>
      <c r="Y10" s="290">
        <v>0</v>
      </c>
      <c r="Z10" s="290">
        <v>0</v>
      </c>
      <c r="AA10" s="290">
        <v>0</v>
      </c>
      <c r="AB10" s="290">
        <v>0</v>
      </c>
      <c r="AC10" s="91"/>
      <c r="AD10" s="91"/>
      <c r="AE10" s="290"/>
      <c r="AF10" s="287"/>
    </row>
    <row r="11" spans="1:32">
      <c r="A11" s="91" t="str">
        <f t="shared" si="0"/>
        <v>INDGDMTELCN1</v>
      </c>
      <c r="B11" s="131" t="s">
        <v>788</v>
      </c>
      <c r="C11" s="91"/>
      <c r="D11" s="288"/>
      <c r="E11" s="288"/>
      <c r="F11" s="91"/>
      <c r="G11" s="289" t="s">
        <v>792</v>
      </c>
      <c r="H11" s="289"/>
      <c r="I11" s="289"/>
      <c r="J11" s="290"/>
      <c r="K11" s="290"/>
      <c r="L11" s="291"/>
      <c r="M11" s="292"/>
      <c r="N11" s="290"/>
      <c r="O11" s="293"/>
      <c r="P11" s="293"/>
      <c r="Q11" s="290"/>
      <c r="R11" s="298"/>
      <c r="S11" s="298"/>
      <c r="T11" s="298"/>
      <c r="U11" s="292">
        <v>0.78809532326668297</v>
      </c>
      <c r="V11" s="298"/>
      <c r="W11" s="294"/>
      <c r="X11" s="295"/>
      <c r="Y11" s="290"/>
      <c r="Z11" s="290"/>
      <c r="AA11" s="290"/>
      <c r="AB11" s="290"/>
      <c r="AC11" s="91"/>
      <c r="AD11" s="91"/>
      <c r="AE11" s="290"/>
      <c r="AF11" s="287"/>
    </row>
    <row r="12" spans="1:32">
      <c r="A12" s="91" t="str">
        <f>IF(D12&gt;0,D12,A11)</f>
        <v>INDGDRHELCN1</v>
      </c>
      <c r="B12" s="131" t="s">
        <v>788</v>
      </c>
      <c r="C12" s="91"/>
      <c r="D12" s="288" t="s">
        <v>793</v>
      </c>
      <c r="E12" s="288" t="s">
        <v>794</v>
      </c>
      <c r="F12" s="91" t="s">
        <v>791</v>
      </c>
      <c r="G12" s="289" t="s">
        <v>310</v>
      </c>
      <c r="H12" s="289" t="s">
        <v>795</v>
      </c>
      <c r="I12" s="289"/>
      <c r="J12" s="290">
        <v>2020</v>
      </c>
      <c r="K12" s="290">
        <v>2020</v>
      </c>
      <c r="L12" s="291">
        <v>1</v>
      </c>
      <c r="M12" s="292">
        <v>4.4754761904761899</v>
      </c>
      <c r="N12" s="290">
        <v>20</v>
      </c>
      <c r="O12" s="293">
        <v>5.4385000000000003</v>
      </c>
      <c r="P12" s="293">
        <v>1.49E-2</v>
      </c>
      <c r="Q12" s="290">
        <v>6.7463888888888883</v>
      </c>
      <c r="R12" s="290">
        <v>3.1536000000000002E-2</v>
      </c>
      <c r="S12" s="292">
        <v>0.5</v>
      </c>
      <c r="T12" s="292">
        <v>1</v>
      </c>
      <c r="U12" s="292">
        <v>0.22343991062403579</v>
      </c>
      <c r="V12" s="292"/>
      <c r="W12" s="294"/>
      <c r="X12" s="295">
        <v>0</v>
      </c>
      <c r="Y12" s="290">
        <v>0</v>
      </c>
      <c r="Z12" s="290">
        <v>0</v>
      </c>
      <c r="AA12" s="290">
        <v>0</v>
      </c>
      <c r="AB12" s="290">
        <v>0</v>
      </c>
      <c r="AC12" s="91"/>
      <c r="AD12" s="91"/>
      <c r="AE12" s="290"/>
      <c r="AF12" s="287"/>
    </row>
    <row r="13" spans="1:32">
      <c r="A13" s="91" t="str">
        <f t="shared" si="0"/>
        <v>INDGDRHELCN1</v>
      </c>
      <c r="B13" s="131" t="s">
        <v>788</v>
      </c>
      <c r="C13" s="91"/>
      <c r="D13" s="288"/>
      <c r="E13" s="288"/>
      <c r="F13" s="91"/>
      <c r="G13" s="289" t="s">
        <v>792</v>
      </c>
      <c r="H13" s="289"/>
      <c r="I13" s="289"/>
      <c r="J13" s="290"/>
      <c r="K13" s="290"/>
      <c r="L13" s="291"/>
      <c r="M13" s="292"/>
      <c r="N13" s="290"/>
      <c r="O13" s="293"/>
      <c r="P13" s="293"/>
      <c r="Q13" s="290"/>
      <c r="R13" s="296"/>
      <c r="S13" s="297"/>
      <c r="T13" s="297"/>
      <c r="U13" s="292">
        <v>0.77656008937596421</v>
      </c>
      <c r="V13" s="297"/>
      <c r="W13" s="294"/>
      <c r="X13" s="295"/>
      <c r="Y13" s="290"/>
      <c r="Z13" s="290"/>
      <c r="AA13" s="290"/>
      <c r="AB13" s="290"/>
      <c r="AC13" s="91"/>
      <c r="AD13" s="91"/>
      <c r="AE13" s="290"/>
      <c r="AF13" s="287"/>
    </row>
    <row r="14" spans="1:32">
      <c r="A14" s="91" t="str">
        <f t="shared" si="0"/>
        <v>INDGDRHELCN1</v>
      </c>
      <c r="B14" s="131" t="s">
        <v>788</v>
      </c>
      <c r="C14" s="91"/>
      <c r="D14" s="288"/>
      <c r="E14" s="288"/>
      <c r="F14" s="91"/>
      <c r="G14" s="289" t="s">
        <v>310</v>
      </c>
      <c r="H14" s="289" t="s">
        <v>795</v>
      </c>
      <c r="I14" s="289"/>
      <c r="J14" s="290">
        <v>2030</v>
      </c>
      <c r="K14" s="290"/>
      <c r="L14" s="291">
        <v>1</v>
      </c>
      <c r="M14" s="292">
        <v>4.5792982142857133</v>
      </c>
      <c r="N14" s="290"/>
      <c r="O14" s="293">
        <v>4.8425000000000002</v>
      </c>
      <c r="P14" s="293">
        <v>1.49E-2</v>
      </c>
      <c r="Q14" s="290">
        <v>6.6222222222222227</v>
      </c>
      <c r="R14" s="298"/>
      <c r="S14" s="298"/>
      <c r="T14" s="298"/>
      <c r="U14" s="292">
        <v>0.21837407244637849</v>
      </c>
      <c r="V14" s="292"/>
      <c r="W14" s="294"/>
      <c r="X14" s="295">
        <v>0</v>
      </c>
      <c r="Y14" s="290">
        <v>0</v>
      </c>
      <c r="Z14" s="290">
        <v>0</v>
      </c>
      <c r="AA14" s="290">
        <v>0</v>
      </c>
      <c r="AB14" s="290">
        <v>0</v>
      </c>
      <c r="AC14" s="91"/>
      <c r="AD14" s="91"/>
      <c r="AE14" s="290"/>
      <c r="AF14" s="287"/>
    </row>
    <row r="15" spans="1:32">
      <c r="A15" s="91" t="str">
        <f t="shared" si="0"/>
        <v>INDGDRHELCN1</v>
      </c>
      <c r="B15" s="131" t="s">
        <v>788</v>
      </c>
      <c r="C15" s="91"/>
      <c r="D15" s="288"/>
      <c r="E15" s="288"/>
      <c r="F15" s="91"/>
      <c r="G15" s="289" t="s">
        <v>792</v>
      </c>
      <c r="H15" s="289"/>
      <c r="I15" s="289"/>
      <c r="J15" s="290"/>
      <c r="K15" s="290"/>
      <c r="L15" s="291"/>
      <c r="M15" s="292"/>
      <c r="N15" s="290"/>
      <c r="O15" s="293"/>
      <c r="P15" s="293"/>
      <c r="Q15" s="290"/>
      <c r="R15" s="298"/>
      <c r="S15" s="298"/>
      <c r="T15" s="298"/>
      <c r="U15" s="292">
        <v>0.78162592755362148</v>
      </c>
      <c r="V15" s="298"/>
      <c r="W15" s="294"/>
      <c r="X15" s="295"/>
      <c r="Y15" s="290"/>
      <c r="Z15" s="290"/>
      <c r="AA15" s="290"/>
      <c r="AB15" s="290"/>
      <c r="AC15" s="91"/>
      <c r="AD15" s="91"/>
      <c r="AE15" s="290"/>
      <c r="AF15" s="287"/>
    </row>
    <row r="16" spans="1:32">
      <c r="A16" s="91" t="str">
        <f t="shared" si="0"/>
        <v>INDGDRHELCN1</v>
      </c>
      <c r="B16" s="131" t="s">
        <v>788</v>
      </c>
      <c r="C16" s="91"/>
      <c r="D16" s="288"/>
      <c r="E16" s="288"/>
      <c r="F16" s="91"/>
      <c r="G16" s="289" t="s">
        <v>310</v>
      </c>
      <c r="H16" s="289" t="s">
        <v>795</v>
      </c>
      <c r="I16" s="289"/>
      <c r="J16" s="290">
        <v>2050</v>
      </c>
      <c r="K16" s="290"/>
      <c r="L16" s="291">
        <v>1</v>
      </c>
      <c r="M16" s="292">
        <v>4.7191030203571422</v>
      </c>
      <c r="N16" s="290"/>
      <c r="O16" s="293">
        <v>4.3209999999999997</v>
      </c>
      <c r="P16" s="293">
        <v>1.49E-2</v>
      </c>
      <c r="Q16" s="290">
        <v>6.4566666666666661</v>
      </c>
      <c r="R16" s="298"/>
      <c r="S16" s="298"/>
      <c r="T16" s="298"/>
      <c r="U16" s="292">
        <v>0.21190467673331698</v>
      </c>
      <c r="V16" s="292"/>
      <c r="W16" s="294"/>
      <c r="X16" s="295">
        <v>0</v>
      </c>
      <c r="Y16" s="290">
        <v>0</v>
      </c>
      <c r="Z16" s="290">
        <v>0</v>
      </c>
      <c r="AA16" s="290">
        <v>0</v>
      </c>
      <c r="AB16" s="290">
        <v>0</v>
      </c>
      <c r="AC16" s="91"/>
      <c r="AD16" s="91"/>
      <c r="AE16" s="290"/>
      <c r="AF16" s="287"/>
    </row>
    <row r="17" spans="1:32">
      <c r="A17" s="91" t="str">
        <f t="shared" si="0"/>
        <v>INDGDRHELCN1</v>
      </c>
      <c r="B17" s="131" t="s">
        <v>788</v>
      </c>
      <c r="C17" s="91"/>
      <c r="D17" s="288"/>
      <c r="E17" s="288"/>
      <c r="F17" s="91"/>
      <c r="G17" s="289" t="s">
        <v>792</v>
      </c>
      <c r="H17" s="289"/>
      <c r="I17" s="289"/>
      <c r="J17" s="290"/>
      <c r="K17" s="290"/>
      <c r="L17" s="291"/>
      <c r="M17" s="292"/>
      <c r="N17" s="290"/>
      <c r="O17" s="293"/>
      <c r="P17" s="293"/>
      <c r="Q17" s="290"/>
      <c r="R17" s="298"/>
      <c r="S17" s="298"/>
      <c r="T17" s="298"/>
      <c r="U17" s="292">
        <v>0.78809532326668297</v>
      </c>
      <c r="V17" s="298"/>
      <c r="W17" s="294"/>
      <c r="X17" s="295"/>
      <c r="Y17" s="290"/>
      <c r="Z17" s="290"/>
      <c r="AA17" s="290"/>
      <c r="AB17" s="290"/>
      <c r="AC17" s="91"/>
      <c r="AD17" s="91"/>
      <c r="AE17" s="290"/>
      <c r="AF17" s="287"/>
    </row>
    <row r="18" spans="1:32">
      <c r="A18" s="91" t="str">
        <f t="shared" si="0"/>
        <v>INDGDMTELCN2</v>
      </c>
      <c r="B18" s="131" t="s">
        <v>796</v>
      </c>
      <c r="C18" s="91"/>
      <c r="D18" s="288" t="s">
        <v>797</v>
      </c>
      <c r="E18" s="288" t="s">
        <v>798</v>
      </c>
      <c r="F18" s="91" t="s">
        <v>791</v>
      </c>
      <c r="G18" s="289" t="s">
        <v>310</v>
      </c>
      <c r="H18" s="289" t="s">
        <v>610</v>
      </c>
      <c r="I18" s="289"/>
      <c r="J18" s="290">
        <v>2020</v>
      </c>
      <c r="K18" s="290">
        <v>2020</v>
      </c>
      <c r="L18" s="291">
        <v>1</v>
      </c>
      <c r="M18" s="292">
        <v>1.68</v>
      </c>
      <c r="N18" s="290">
        <v>20</v>
      </c>
      <c r="O18" s="293">
        <v>4.1720000000000006</v>
      </c>
      <c r="P18" s="293">
        <v>1.49E-2</v>
      </c>
      <c r="Q18" s="290">
        <v>2.0901388888888892</v>
      </c>
      <c r="R18" s="290">
        <v>3.1536000000000002E-2</v>
      </c>
      <c r="S18" s="292">
        <v>0.5</v>
      </c>
      <c r="T18" s="292">
        <v>0.01</v>
      </c>
      <c r="U18" s="292">
        <v>0.59523809523809523</v>
      </c>
      <c r="V18" s="292"/>
      <c r="W18" s="294"/>
      <c r="X18" s="295">
        <v>0</v>
      </c>
      <c r="Y18" s="290">
        <v>0</v>
      </c>
      <c r="Z18" s="290">
        <v>0</v>
      </c>
      <c r="AA18" s="290">
        <v>0</v>
      </c>
      <c r="AB18" s="290">
        <v>0</v>
      </c>
      <c r="AC18" s="91"/>
      <c r="AD18" s="91"/>
      <c r="AE18" s="290"/>
      <c r="AF18" s="287"/>
    </row>
    <row r="19" spans="1:32">
      <c r="A19" s="91" t="str">
        <f t="shared" si="0"/>
        <v>INDGDMTELCN2</v>
      </c>
      <c r="B19" s="131" t="s">
        <v>796</v>
      </c>
      <c r="C19" s="91"/>
      <c r="D19" s="288"/>
      <c r="E19" s="288"/>
      <c r="F19" s="91"/>
      <c r="G19" s="289" t="s">
        <v>792</v>
      </c>
      <c r="H19" s="289"/>
      <c r="I19" s="289"/>
      <c r="J19" s="290"/>
      <c r="K19" s="290"/>
      <c r="L19" s="291"/>
      <c r="M19" s="292"/>
      <c r="N19" s="290"/>
      <c r="O19" s="293"/>
      <c r="P19" s="293"/>
      <c r="Q19" s="290"/>
      <c r="R19" s="296"/>
      <c r="S19" s="297"/>
      <c r="T19" s="297"/>
      <c r="U19" s="292">
        <v>0.40476190476190477</v>
      </c>
      <c r="V19" s="297"/>
      <c r="W19" s="294"/>
      <c r="X19" s="295"/>
      <c r="Y19" s="290"/>
      <c r="Z19" s="290"/>
      <c r="AA19" s="290"/>
      <c r="AB19" s="290"/>
      <c r="AC19" s="91"/>
      <c r="AD19" s="91"/>
      <c r="AE19" s="290"/>
      <c r="AF19" s="287"/>
    </row>
    <row r="20" spans="1:32">
      <c r="A20" s="91" t="str">
        <f t="shared" si="0"/>
        <v>INDGDMTELCN2</v>
      </c>
      <c r="B20" s="131" t="s">
        <v>796</v>
      </c>
      <c r="C20" s="91"/>
      <c r="D20" s="288"/>
      <c r="E20" s="288"/>
      <c r="F20" s="91"/>
      <c r="G20" s="289" t="s">
        <v>310</v>
      </c>
      <c r="H20" s="289" t="s">
        <v>610</v>
      </c>
      <c r="I20" s="289"/>
      <c r="J20" s="290">
        <v>2030</v>
      </c>
      <c r="K20" s="290"/>
      <c r="L20" s="291">
        <v>1</v>
      </c>
      <c r="M20" s="292">
        <v>1.69</v>
      </c>
      <c r="N20" s="290"/>
      <c r="O20" s="293">
        <v>3.7995000000000001</v>
      </c>
      <c r="P20" s="293">
        <v>1.49E-2</v>
      </c>
      <c r="Q20" s="290">
        <v>2.0694444444444446</v>
      </c>
      <c r="R20" s="298"/>
      <c r="S20" s="298"/>
      <c r="T20" s="298"/>
      <c r="U20" s="292">
        <v>0.59171597633136097</v>
      </c>
      <c r="V20" s="292"/>
      <c r="W20" s="294"/>
      <c r="X20" s="295">
        <v>0</v>
      </c>
      <c r="Y20" s="290">
        <v>0</v>
      </c>
      <c r="Z20" s="290">
        <v>0</v>
      </c>
      <c r="AA20" s="290">
        <v>0</v>
      </c>
      <c r="AB20" s="290">
        <v>0</v>
      </c>
      <c r="AC20" s="91"/>
      <c r="AD20" s="91"/>
      <c r="AE20" s="290"/>
      <c r="AF20" s="287"/>
    </row>
    <row r="21" spans="1:32">
      <c r="A21" s="91" t="str">
        <f t="shared" si="0"/>
        <v>INDGDMTELCN2</v>
      </c>
      <c r="B21" s="131" t="s">
        <v>796</v>
      </c>
      <c r="C21" s="91"/>
      <c r="D21" s="288"/>
      <c r="E21" s="288"/>
      <c r="F21" s="91"/>
      <c r="G21" s="289" t="s">
        <v>792</v>
      </c>
      <c r="H21" s="289"/>
      <c r="I21" s="289"/>
      <c r="J21" s="290"/>
      <c r="K21" s="290"/>
      <c r="L21" s="291"/>
      <c r="M21" s="292"/>
      <c r="N21" s="290"/>
      <c r="O21" s="293"/>
      <c r="P21" s="293"/>
      <c r="Q21" s="290"/>
      <c r="R21" s="298"/>
      <c r="S21" s="298"/>
      <c r="T21" s="298"/>
      <c r="U21" s="292">
        <v>0.40828402366863903</v>
      </c>
      <c r="V21" s="298"/>
      <c r="W21" s="294"/>
      <c r="X21" s="295"/>
      <c r="Y21" s="290"/>
      <c r="Z21" s="290"/>
      <c r="AA21" s="290"/>
      <c r="AB21" s="290"/>
      <c r="AC21" s="91"/>
      <c r="AD21" s="91"/>
      <c r="AE21" s="290"/>
      <c r="AF21" s="287"/>
    </row>
    <row r="22" spans="1:32">
      <c r="A22" s="91" t="str">
        <f t="shared" si="0"/>
        <v>INDGDMTELCN2</v>
      </c>
      <c r="B22" s="131" t="s">
        <v>796</v>
      </c>
      <c r="C22" s="91"/>
      <c r="D22" s="288"/>
      <c r="E22" s="288"/>
      <c r="F22" s="91"/>
      <c r="G22" s="289" t="s">
        <v>310</v>
      </c>
      <c r="H22" s="289" t="s">
        <v>610</v>
      </c>
      <c r="I22" s="289"/>
      <c r="J22" s="290">
        <v>2050</v>
      </c>
      <c r="K22" s="290"/>
      <c r="L22" s="291">
        <v>1</v>
      </c>
      <c r="M22" s="292">
        <v>1.71</v>
      </c>
      <c r="N22" s="290"/>
      <c r="O22" s="293">
        <v>3.427</v>
      </c>
      <c r="P22" s="293">
        <v>1.49E-2</v>
      </c>
      <c r="Q22" s="290">
        <v>2.0487500000000001</v>
      </c>
      <c r="R22" s="298"/>
      <c r="S22" s="298"/>
      <c r="T22" s="298"/>
      <c r="U22" s="292">
        <v>0.58479532163742687</v>
      </c>
      <c r="V22" s="292"/>
      <c r="W22" s="294"/>
      <c r="X22" s="295">
        <v>0</v>
      </c>
      <c r="Y22" s="290">
        <v>0</v>
      </c>
      <c r="Z22" s="290">
        <v>0</v>
      </c>
      <c r="AA22" s="290">
        <v>0</v>
      </c>
      <c r="AB22" s="290">
        <v>0</v>
      </c>
      <c r="AC22" s="91"/>
      <c r="AD22" s="91"/>
      <c r="AE22" s="290"/>
      <c r="AF22" s="287"/>
    </row>
    <row r="23" spans="1:32">
      <c r="A23" s="91" t="str">
        <f t="shared" si="0"/>
        <v>INDGDMTELCN2</v>
      </c>
      <c r="B23" s="131" t="s">
        <v>796</v>
      </c>
      <c r="C23" s="91"/>
      <c r="D23" s="288"/>
      <c r="E23" s="288"/>
      <c r="F23" s="91"/>
      <c r="G23" s="289" t="s">
        <v>792</v>
      </c>
      <c r="H23" s="289"/>
      <c r="I23" s="289"/>
      <c r="J23" s="290"/>
      <c r="K23" s="290"/>
      <c r="L23" s="291"/>
      <c r="M23" s="292"/>
      <c r="N23" s="290"/>
      <c r="O23" s="293"/>
      <c r="P23" s="293"/>
      <c r="Q23" s="290"/>
      <c r="R23" s="298"/>
      <c r="S23" s="298"/>
      <c r="T23" s="298"/>
      <c r="U23" s="292">
        <v>0.41520467836257313</v>
      </c>
      <c r="V23" s="298"/>
      <c r="W23" s="294"/>
      <c r="X23" s="295"/>
      <c r="Y23" s="290"/>
      <c r="Z23" s="290"/>
      <c r="AA23" s="290"/>
      <c r="AB23" s="290"/>
      <c r="AC23" s="91"/>
      <c r="AD23" s="91"/>
      <c r="AE23" s="290"/>
      <c r="AF23" s="287"/>
    </row>
    <row r="24" spans="1:32">
      <c r="A24" s="91" t="str">
        <f t="shared" si="0"/>
        <v>INDGDRHELCN2</v>
      </c>
      <c r="B24" s="131" t="s">
        <v>796</v>
      </c>
      <c r="C24" s="91"/>
      <c r="D24" s="288" t="s">
        <v>799</v>
      </c>
      <c r="E24" s="288" t="s">
        <v>800</v>
      </c>
      <c r="F24" s="91" t="s">
        <v>791</v>
      </c>
      <c r="G24" s="289" t="s">
        <v>310</v>
      </c>
      <c r="H24" s="289" t="s">
        <v>795</v>
      </c>
      <c r="I24" s="289"/>
      <c r="J24" s="290">
        <v>2020</v>
      </c>
      <c r="K24" s="290">
        <v>2020</v>
      </c>
      <c r="L24" s="291">
        <v>1</v>
      </c>
      <c r="M24" s="292">
        <v>1.68</v>
      </c>
      <c r="N24" s="290">
        <v>20</v>
      </c>
      <c r="O24" s="293">
        <v>4.1720000000000006</v>
      </c>
      <c r="P24" s="293">
        <v>1.49E-2</v>
      </c>
      <c r="Q24" s="290">
        <v>2.0901388888888892</v>
      </c>
      <c r="R24" s="290">
        <v>3.1536000000000002E-2</v>
      </c>
      <c r="S24" s="292">
        <v>0.5</v>
      </c>
      <c r="T24" s="292">
        <v>1</v>
      </c>
      <c r="U24" s="292">
        <v>0.59523809523809523</v>
      </c>
      <c r="V24" s="292"/>
      <c r="W24" s="294"/>
      <c r="X24" s="295">
        <v>0</v>
      </c>
      <c r="Y24" s="290">
        <v>0</v>
      </c>
      <c r="Z24" s="290">
        <v>0</v>
      </c>
      <c r="AA24" s="290">
        <v>0</v>
      </c>
      <c r="AB24" s="290">
        <v>0</v>
      </c>
      <c r="AC24" s="91"/>
      <c r="AD24" s="91"/>
      <c r="AE24" s="290"/>
      <c r="AF24" s="287"/>
    </row>
    <row r="25" spans="1:32">
      <c r="A25" s="91" t="str">
        <f t="shared" si="0"/>
        <v>INDGDRHELCN2</v>
      </c>
      <c r="B25" s="131" t="s">
        <v>796</v>
      </c>
      <c r="C25" s="91"/>
      <c r="D25" s="288"/>
      <c r="E25" s="288"/>
      <c r="F25" s="91"/>
      <c r="G25" s="289" t="s">
        <v>792</v>
      </c>
      <c r="H25" s="289"/>
      <c r="I25" s="289"/>
      <c r="J25" s="290"/>
      <c r="K25" s="290"/>
      <c r="L25" s="291"/>
      <c r="M25" s="292"/>
      <c r="N25" s="290"/>
      <c r="O25" s="293"/>
      <c r="P25" s="293"/>
      <c r="Q25" s="290"/>
      <c r="R25" s="296"/>
      <c r="S25" s="297"/>
      <c r="T25" s="297"/>
      <c r="U25" s="292">
        <v>0.40476190476190477</v>
      </c>
      <c r="V25" s="297"/>
      <c r="W25" s="294"/>
      <c r="X25" s="295"/>
      <c r="Y25" s="290"/>
      <c r="Z25" s="290"/>
      <c r="AA25" s="290"/>
      <c r="AB25" s="290"/>
      <c r="AC25" s="91"/>
      <c r="AD25" s="91"/>
      <c r="AE25" s="290"/>
      <c r="AF25" s="287"/>
    </row>
    <row r="26" spans="1:32">
      <c r="A26" s="91" t="str">
        <f t="shared" si="0"/>
        <v>INDGDRHELCN2</v>
      </c>
      <c r="B26" s="131" t="s">
        <v>796</v>
      </c>
      <c r="C26" s="91"/>
      <c r="D26" s="288"/>
      <c r="E26" s="288"/>
      <c r="F26" s="91"/>
      <c r="G26" s="289" t="s">
        <v>310</v>
      </c>
      <c r="H26" s="289" t="s">
        <v>795</v>
      </c>
      <c r="I26" s="289"/>
      <c r="J26" s="290">
        <v>2030</v>
      </c>
      <c r="K26" s="290"/>
      <c r="L26" s="291">
        <v>1</v>
      </c>
      <c r="M26" s="292">
        <v>1.69</v>
      </c>
      <c r="N26" s="290"/>
      <c r="O26" s="293">
        <v>3.7995000000000001</v>
      </c>
      <c r="P26" s="293">
        <v>1.49E-2</v>
      </c>
      <c r="Q26" s="290">
        <v>2.0694444444444446</v>
      </c>
      <c r="R26" s="298"/>
      <c r="S26" s="298"/>
      <c r="T26" s="298"/>
      <c r="U26" s="292">
        <v>0.59171597633136097</v>
      </c>
      <c r="V26" s="292"/>
      <c r="W26" s="294"/>
      <c r="X26" s="295">
        <v>0</v>
      </c>
      <c r="Y26" s="290">
        <v>0</v>
      </c>
      <c r="Z26" s="290">
        <v>0</v>
      </c>
      <c r="AA26" s="290">
        <v>0</v>
      </c>
      <c r="AB26" s="290">
        <v>0</v>
      </c>
      <c r="AC26" s="91"/>
      <c r="AD26" s="91"/>
      <c r="AE26" s="290"/>
      <c r="AF26" s="287"/>
    </row>
    <row r="27" spans="1:32">
      <c r="A27" s="91" t="str">
        <f t="shared" si="0"/>
        <v>INDGDRHELCN2</v>
      </c>
      <c r="B27" s="131" t="s">
        <v>796</v>
      </c>
      <c r="C27" s="91"/>
      <c r="D27" s="288"/>
      <c r="E27" s="288"/>
      <c r="F27" s="91"/>
      <c r="G27" s="289" t="s">
        <v>792</v>
      </c>
      <c r="H27" s="289"/>
      <c r="I27" s="289"/>
      <c r="J27" s="290"/>
      <c r="K27" s="290"/>
      <c r="L27" s="291"/>
      <c r="M27" s="292"/>
      <c r="N27" s="290"/>
      <c r="O27" s="293"/>
      <c r="P27" s="293"/>
      <c r="Q27" s="290"/>
      <c r="R27" s="298"/>
      <c r="S27" s="298"/>
      <c r="T27" s="298"/>
      <c r="U27" s="292">
        <v>0.40828402366863903</v>
      </c>
      <c r="V27" s="298"/>
      <c r="W27" s="294"/>
      <c r="X27" s="295"/>
      <c r="Y27" s="290"/>
      <c r="Z27" s="290"/>
      <c r="AA27" s="290"/>
      <c r="AB27" s="290"/>
      <c r="AC27" s="91"/>
      <c r="AD27" s="91"/>
      <c r="AE27" s="290"/>
      <c r="AF27" s="287"/>
    </row>
    <row r="28" spans="1:32">
      <c r="A28" s="91" t="str">
        <f t="shared" si="0"/>
        <v>INDGDRHELCN2</v>
      </c>
      <c r="B28" s="131" t="s">
        <v>796</v>
      </c>
      <c r="C28" s="91"/>
      <c r="D28" s="288"/>
      <c r="E28" s="288"/>
      <c r="F28" s="91"/>
      <c r="G28" s="289" t="s">
        <v>310</v>
      </c>
      <c r="H28" s="289" t="s">
        <v>795</v>
      </c>
      <c r="I28" s="289"/>
      <c r="J28" s="290">
        <v>2050</v>
      </c>
      <c r="K28" s="290"/>
      <c r="L28" s="291">
        <v>1</v>
      </c>
      <c r="M28" s="292">
        <v>1.71</v>
      </c>
      <c r="N28" s="290"/>
      <c r="O28" s="293">
        <v>3.427</v>
      </c>
      <c r="P28" s="293">
        <v>1.49E-2</v>
      </c>
      <c r="Q28" s="290">
        <v>2.0487500000000001</v>
      </c>
      <c r="R28" s="298"/>
      <c r="S28" s="298"/>
      <c r="T28" s="298"/>
      <c r="U28" s="292">
        <v>0.58479532163742687</v>
      </c>
      <c r="V28" s="292"/>
      <c r="W28" s="294"/>
      <c r="X28" s="295">
        <v>0</v>
      </c>
      <c r="Y28" s="290">
        <v>0</v>
      </c>
      <c r="Z28" s="290">
        <v>0</v>
      </c>
      <c r="AA28" s="290">
        <v>0</v>
      </c>
      <c r="AB28" s="290">
        <v>0</v>
      </c>
      <c r="AC28" s="91"/>
      <c r="AD28" s="91"/>
      <c r="AE28" s="290"/>
      <c r="AF28" s="287"/>
    </row>
    <row r="29" spans="1:32">
      <c r="A29" s="91" t="str">
        <f t="shared" si="0"/>
        <v>INDGDRHELCN2</v>
      </c>
      <c r="B29" s="131" t="s">
        <v>796</v>
      </c>
      <c r="C29" s="91"/>
      <c r="D29" s="288"/>
      <c r="E29" s="288"/>
      <c r="F29" s="91"/>
      <c r="G29" s="289" t="s">
        <v>792</v>
      </c>
      <c r="H29" s="289"/>
      <c r="I29" s="289"/>
      <c r="J29" s="290"/>
      <c r="K29" s="290"/>
      <c r="L29" s="291"/>
      <c r="M29" s="292"/>
      <c r="N29" s="290"/>
      <c r="O29" s="293"/>
      <c r="P29" s="293"/>
      <c r="Q29" s="290"/>
      <c r="R29" s="298"/>
      <c r="S29" s="298"/>
      <c r="T29" s="298"/>
      <c r="U29" s="292">
        <v>0.41520467836257313</v>
      </c>
      <c r="V29" s="298"/>
      <c r="W29" s="294"/>
      <c r="X29" s="295"/>
      <c r="Y29" s="290"/>
      <c r="Z29" s="290"/>
      <c r="AA29" s="290"/>
      <c r="AB29" s="290"/>
      <c r="AC29" s="91"/>
      <c r="AD29" s="91"/>
      <c r="AE29" s="290"/>
      <c r="AF29" s="287"/>
    </row>
    <row r="30" spans="1:32">
      <c r="A30" s="91" t="str">
        <f t="shared" si="0"/>
        <v>INDGDMTELCN3</v>
      </c>
      <c r="B30" s="131" t="s">
        <v>801</v>
      </c>
      <c r="C30" s="91"/>
      <c r="D30" s="288" t="s">
        <v>802</v>
      </c>
      <c r="E30" s="288" t="s">
        <v>803</v>
      </c>
      <c r="F30" s="91" t="s">
        <v>791</v>
      </c>
      <c r="G30" s="289" t="s">
        <v>310</v>
      </c>
      <c r="H30" s="289" t="s">
        <v>610</v>
      </c>
      <c r="I30" s="289"/>
      <c r="J30" s="290">
        <v>2020</v>
      </c>
      <c r="K30" s="290">
        <v>2020</v>
      </c>
      <c r="L30" s="291">
        <v>1</v>
      </c>
      <c r="M30" s="292">
        <v>2.75</v>
      </c>
      <c r="N30" s="290">
        <v>20</v>
      </c>
      <c r="O30" s="293">
        <v>7.1394840000000004</v>
      </c>
      <c r="P30" s="293">
        <v>7.2264999999999994E-3</v>
      </c>
      <c r="Q30" s="290">
        <v>6.7463888888888883</v>
      </c>
      <c r="R30" s="290">
        <v>3.1536000000000002E-2</v>
      </c>
      <c r="S30" s="292">
        <v>0.5</v>
      </c>
      <c r="T30" s="292">
        <v>1.0000000000000009E-2</v>
      </c>
      <c r="U30" s="292">
        <v>0.36363636363636365</v>
      </c>
      <c r="V30" s="292"/>
      <c r="W30" s="294"/>
      <c r="X30" s="295">
        <v>0</v>
      </c>
      <c r="Y30" s="290">
        <v>0</v>
      </c>
      <c r="Z30" s="290">
        <v>0</v>
      </c>
      <c r="AA30" s="290">
        <v>0</v>
      </c>
      <c r="AB30" s="290">
        <v>0</v>
      </c>
      <c r="AC30" s="91"/>
      <c r="AD30" s="91"/>
      <c r="AE30" s="290"/>
      <c r="AF30" s="287"/>
    </row>
    <row r="31" spans="1:32">
      <c r="A31" s="91" t="str">
        <f t="shared" si="0"/>
        <v>INDGDMTELCN3</v>
      </c>
      <c r="B31" s="131" t="s">
        <v>801</v>
      </c>
      <c r="C31" s="91"/>
      <c r="D31" s="288"/>
      <c r="E31" s="288"/>
      <c r="F31" s="91"/>
      <c r="G31" s="289" t="s">
        <v>792</v>
      </c>
      <c r="H31" s="289"/>
      <c r="I31" s="289"/>
      <c r="J31" s="290"/>
      <c r="K31" s="290"/>
      <c r="L31" s="291"/>
      <c r="M31" s="292"/>
      <c r="N31" s="290"/>
      <c r="O31" s="293"/>
      <c r="P31" s="293"/>
      <c r="Q31" s="290"/>
      <c r="R31" s="296"/>
      <c r="S31" s="297"/>
      <c r="T31" s="297"/>
      <c r="U31" s="292">
        <v>0.63636363636363635</v>
      </c>
      <c r="V31" s="297"/>
      <c r="W31" s="294"/>
      <c r="X31" s="295"/>
      <c r="Y31" s="290"/>
      <c r="Z31" s="290"/>
      <c r="AA31" s="290"/>
      <c r="AB31" s="290"/>
      <c r="AC31" s="91"/>
      <c r="AD31" s="91"/>
      <c r="AE31" s="290"/>
      <c r="AF31" s="287"/>
    </row>
    <row r="32" spans="1:32">
      <c r="A32" s="91" t="str">
        <f t="shared" si="0"/>
        <v>INDGDMTELCN3</v>
      </c>
      <c r="B32" s="131" t="s">
        <v>801</v>
      </c>
      <c r="C32" s="91"/>
      <c r="D32" s="288"/>
      <c r="E32" s="288"/>
      <c r="F32" s="91"/>
      <c r="G32" s="289" t="s">
        <v>310</v>
      </c>
      <c r="H32" s="289" t="s">
        <v>610</v>
      </c>
      <c r="I32" s="289"/>
      <c r="J32" s="290">
        <v>2030</v>
      </c>
      <c r="K32" s="290"/>
      <c r="L32" s="291">
        <v>1</v>
      </c>
      <c r="M32" s="292">
        <v>2.875</v>
      </c>
      <c r="N32" s="290"/>
      <c r="O32" s="293">
        <v>6.3822660000000013</v>
      </c>
      <c r="P32" s="293">
        <v>6.4814999999999994E-3</v>
      </c>
      <c r="Q32" s="290">
        <v>6.6222222222222227</v>
      </c>
      <c r="R32" s="298"/>
      <c r="S32" s="298"/>
      <c r="T32" s="298"/>
      <c r="U32" s="292">
        <v>0.34782608695652173</v>
      </c>
      <c r="V32" s="292"/>
      <c r="W32" s="294"/>
      <c r="X32" s="295">
        <v>0</v>
      </c>
      <c r="Y32" s="290">
        <v>0</v>
      </c>
      <c r="Z32" s="290">
        <v>0</v>
      </c>
      <c r="AA32" s="290">
        <v>0</v>
      </c>
      <c r="AB32" s="290">
        <v>0</v>
      </c>
      <c r="AC32" s="91"/>
      <c r="AD32" s="91"/>
      <c r="AE32" s="290"/>
      <c r="AF32" s="287"/>
    </row>
    <row r="33" spans="1:32">
      <c r="A33" s="91" t="str">
        <f t="shared" si="0"/>
        <v>INDGDMTELCN3</v>
      </c>
      <c r="B33" s="131" t="s">
        <v>801</v>
      </c>
      <c r="C33" s="91"/>
      <c r="D33" s="288"/>
      <c r="E33" s="288"/>
      <c r="F33" s="91"/>
      <c r="G33" s="289" t="s">
        <v>792</v>
      </c>
      <c r="H33" s="289"/>
      <c r="I33" s="289"/>
      <c r="J33" s="290"/>
      <c r="K33" s="290"/>
      <c r="L33" s="291"/>
      <c r="M33" s="292"/>
      <c r="N33" s="290"/>
      <c r="O33" s="293"/>
      <c r="P33" s="293"/>
      <c r="Q33" s="290"/>
      <c r="R33" s="298"/>
      <c r="S33" s="298"/>
      <c r="T33" s="298"/>
      <c r="U33" s="292">
        <v>0.65217391304347827</v>
      </c>
      <c r="V33" s="298"/>
      <c r="W33" s="294"/>
      <c r="X33" s="295"/>
      <c r="Y33" s="290"/>
      <c r="Z33" s="290"/>
      <c r="AA33" s="290"/>
      <c r="AB33" s="290"/>
      <c r="AC33" s="91"/>
      <c r="AD33" s="91"/>
      <c r="AE33" s="290"/>
      <c r="AF33" s="287"/>
    </row>
    <row r="34" spans="1:32">
      <c r="A34" s="91" t="str">
        <f t="shared" si="0"/>
        <v>INDGDMTELCN3</v>
      </c>
      <c r="B34" s="131" t="s">
        <v>801</v>
      </c>
      <c r="C34" s="91"/>
      <c r="D34" s="288"/>
      <c r="E34" s="288"/>
      <c r="F34" s="91"/>
      <c r="G34" s="289" t="s">
        <v>310</v>
      </c>
      <c r="H34" s="289" t="s">
        <v>610</v>
      </c>
      <c r="I34" s="289"/>
      <c r="J34" s="290">
        <v>2050</v>
      </c>
      <c r="K34" s="290"/>
      <c r="L34" s="291">
        <v>1</v>
      </c>
      <c r="M34" s="292">
        <v>3.0249999999999999</v>
      </c>
      <c r="N34" s="290"/>
      <c r="O34" s="293">
        <v>5.7365000000000004</v>
      </c>
      <c r="P34" s="293">
        <v>5.3639999999999998E-3</v>
      </c>
      <c r="Q34" s="290">
        <v>6.4566666666666661</v>
      </c>
      <c r="R34" s="298"/>
      <c r="S34" s="298"/>
      <c r="T34" s="298"/>
      <c r="U34" s="292">
        <v>0.33057851239669422</v>
      </c>
      <c r="V34" s="292"/>
      <c r="W34" s="294"/>
      <c r="X34" s="295">
        <v>0</v>
      </c>
      <c r="Y34" s="290">
        <v>0</v>
      </c>
      <c r="Z34" s="290">
        <v>0</v>
      </c>
      <c r="AA34" s="290">
        <v>0</v>
      </c>
      <c r="AB34" s="290">
        <v>0</v>
      </c>
      <c r="AC34" s="91"/>
      <c r="AD34" s="91"/>
      <c r="AE34" s="290"/>
      <c r="AF34" s="287"/>
    </row>
    <row r="35" spans="1:32">
      <c r="A35" s="91" t="str">
        <f t="shared" si="0"/>
        <v>INDGDMTELCN3</v>
      </c>
      <c r="B35" s="131" t="s">
        <v>801</v>
      </c>
      <c r="C35" s="91"/>
      <c r="D35" s="288"/>
      <c r="E35" s="288"/>
      <c r="F35" s="91"/>
      <c r="G35" s="289" t="s">
        <v>792</v>
      </c>
      <c r="H35" s="289"/>
      <c r="I35" s="289"/>
      <c r="J35" s="290"/>
      <c r="K35" s="290"/>
      <c r="L35" s="291"/>
      <c r="M35" s="292"/>
      <c r="N35" s="290"/>
      <c r="O35" s="293"/>
      <c r="P35" s="293"/>
      <c r="Q35" s="290"/>
      <c r="R35" s="298"/>
      <c r="S35" s="298"/>
      <c r="T35" s="298"/>
      <c r="U35" s="292">
        <v>0.66942148760330578</v>
      </c>
      <c r="V35" s="298"/>
      <c r="W35" s="294"/>
      <c r="X35" s="295"/>
      <c r="Y35" s="290"/>
      <c r="Z35" s="290"/>
      <c r="AA35" s="290"/>
      <c r="AB35" s="290"/>
      <c r="AC35" s="91"/>
      <c r="AD35" s="91"/>
      <c r="AE35" s="290"/>
      <c r="AF35" s="287"/>
    </row>
    <row r="36" spans="1:32">
      <c r="A36" s="91" t="str">
        <f t="shared" si="0"/>
        <v>INDGDRHELCN3</v>
      </c>
      <c r="B36" s="131" t="s">
        <v>801</v>
      </c>
      <c r="C36" s="91"/>
      <c r="D36" s="288" t="s">
        <v>804</v>
      </c>
      <c r="E36" s="288" t="s">
        <v>805</v>
      </c>
      <c r="F36" s="91" t="s">
        <v>791</v>
      </c>
      <c r="G36" s="289" t="s">
        <v>310</v>
      </c>
      <c r="H36" s="289" t="s">
        <v>795</v>
      </c>
      <c r="I36" s="289"/>
      <c r="J36" s="290">
        <v>2020</v>
      </c>
      <c r="K36" s="290">
        <v>2020</v>
      </c>
      <c r="L36" s="291">
        <v>1</v>
      </c>
      <c r="M36" s="292">
        <v>2.75</v>
      </c>
      <c r="N36" s="290">
        <v>20</v>
      </c>
      <c r="O36" s="293">
        <v>7.1394840000000004</v>
      </c>
      <c r="P36" s="293">
        <v>7.2264999999999994E-3</v>
      </c>
      <c r="Q36" s="290">
        <v>6.7463888888888883</v>
      </c>
      <c r="R36" s="290">
        <v>3.1536000000000002E-2</v>
      </c>
      <c r="S36" s="292">
        <v>0.5</v>
      </c>
      <c r="T36" s="292">
        <v>1</v>
      </c>
      <c r="U36" s="292">
        <v>0.36363636363636365</v>
      </c>
      <c r="V36" s="292"/>
      <c r="W36" s="294"/>
      <c r="X36" s="295">
        <v>0</v>
      </c>
      <c r="Y36" s="290">
        <v>0</v>
      </c>
      <c r="Z36" s="290">
        <v>0</v>
      </c>
      <c r="AA36" s="290">
        <v>0</v>
      </c>
      <c r="AB36" s="290">
        <v>0</v>
      </c>
      <c r="AC36" s="91"/>
      <c r="AD36" s="91"/>
      <c r="AE36" s="290"/>
      <c r="AF36" s="287"/>
    </row>
    <row r="37" spans="1:32">
      <c r="A37" s="91" t="str">
        <f t="shared" si="0"/>
        <v>INDGDRHELCN3</v>
      </c>
      <c r="B37" s="131" t="s">
        <v>801</v>
      </c>
      <c r="C37" s="91"/>
      <c r="D37" s="288"/>
      <c r="E37" s="288"/>
      <c r="F37" s="91"/>
      <c r="G37" s="289" t="s">
        <v>792</v>
      </c>
      <c r="H37" s="289"/>
      <c r="I37" s="289"/>
      <c r="J37" s="290"/>
      <c r="K37" s="290"/>
      <c r="L37" s="291"/>
      <c r="M37" s="292"/>
      <c r="N37" s="290"/>
      <c r="O37" s="293"/>
      <c r="P37" s="293"/>
      <c r="Q37" s="290"/>
      <c r="R37" s="296"/>
      <c r="S37" s="297"/>
      <c r="T37" s="297"/>
      <c r="U37" s="292">
        <v>0.63636363636363635</v>
      </c>
      <c r="V37" s="297"/>
      <c r="W37" s="294"/>
      <c r="X37" s="295"/>
      <c r="Y37" s="290"/>
      <c r="Z37" s="290"/>
      <c r="AA37" s="290"/>
      <c r="AB37" s="290"/>
      <c r="AC37" s="91"/>
      <c r="AD37" s="91"/>
      <c r="AE37" s="290"/>
      <c r="AF37" s="287"/>
    </row>
    <row r="38" spans="1:32">
      <c r="A38" s="91" t="str">
        <f t="shared" si="0"/>
        <v>INDGDRHELCN3</v>
      </c>
      <c r="B38" s="131" t="s">
        <v>801</v>
      </c>
      <c r="C38" s="91"/>
      <c r="D38" s="288"/>
      <c r="E38" s="288"/>
      <c r="F38" s="91"/>
      <c r="G38" s="289" t="s">
        <v>310</v>
      </c>
      <c r="H38" s="289" t="s">
        <v>795</v>
      </c>
      <c r="I38" s="289"/>
      <c r="J38" s="290">
        <v>2030</v>
      </c>
      <c r="K38" s="290"/>
      <c r="L38" s="291">
        <v>1</v>
      </c>
      <c r="M38" s="292">
        <v>2.875</v>
      </c>
      <c r="N38" s="290"/>
      <c r="O38" s="293">
        <v>6.3822660000000013</v>
      </c>
      <c r="P38" s="293">
        <v>6.4814999999999994E-3</v>
      </c>
      <c r="Q38" s="290">
        <v>6.6222222222222227</v>
      </c>
      <c r="R38" s="298"/>
      <c r="S38" s="298"/>
      <c r="T38" s="298"/>
      <c r="U38" s="292">
        <v>0.34782608695652173</v>
      </c>
      <c r="V38" s="292"/>
      <c r="W38" s="294"/>
      <c r="X38" s="295">
        <v>0</v>
      </c>
      <c r="Y38" s="290">
        <v>0</v>
      </c>
      <c r="Z38" s="290">
        <v>0</v>
      </c>
      <c r="AA38" s="290">
        <v>0</v>
      </c>
      <c r="AB38" s="290">
        <v>0</v>
      </c>
      <c r="AC38" s="91"/>
      <c r="AD38" s="91"/>
      <c r="AE38" s="290"/>
      <c r="AF38" s="287"/>
    </row>
    <row r="39" spans="1:32">
      <c r="A39" s="91" t="str">
        <f t="shared" si="0"/>
        <v>INDGDRHELCN3</v>
      </c>
      <c r="B39" s="131" t="s">
        <v>801</v>
      </c>
      <c r="C39" s="91"/>
      <c r="D39" s="288"/>
      <c r="E39" s="288"/>
      <c r="F39" s="91"/>
      <c r="G39" s="289" t="s">
        <v>792</v>
      </c>
      <c r="H39" s="289"/>
      <c r="I39" s="289"/>
      <c r="J39" s="290"/>
      <c r="K39" s="290"/>
      <c r="L39" s="291"/>
      <c r="M39" s="292"/>
      <c r="N39" s="290"/>
      <c r="O39" s="293"/>
      <c r="P39" s="293"/>
      <c r="Q39" s="290"/>
      <c r="R39" s="298"/>
      <c r="S39" s="298"/>
      <c r="T39" s="298"/>
      <c r="U39" s="292">
        <v>0.65217391304347827</v>
      </c>
      <c r="V39" s="298"/>
      <c r="W39" s="294"/>
      <c r="X39" s="295"/>
      <c r="Y39" s="290"/>
      <c r="Z39" s="290"/>
      <c r="AA39" s="290"/>
      <c r="AB39" s="290"/>
      <c r="AC39" s="91"/>
      <c r="AD39" s="91"/>
      <c r="AE39" s="290"/>
      <c r="AF39" s="287"/>
    </row>
    <row r="40" spans="1:32">
      <c r="A40" s="91" t="str">
        <f t="shared" si="0"/>
        <v>INDGDRHELCN3</v>
      </c>
      <c r="B40" s="131" t="s">
        <v>801</v>
      </c>
      <c r="C40" s="91"/>
      <c r="D40" s="288"/>
      <c r="E40" s="288"/>
      <c r="F40" s="91"/>
      <c r="G40" s="289" t="s">
        <v>310</v>
      </c>
      <c r="H40" s="289" t="s">
        <v>795</v>
      </c>
      <c r="I40" s="289"/>
      <c r="J40" s="290">
        <v>2050</v>
      </c>
      <c r="K40" s="290"/>
      <c r="L40" s="291">
        <v>1</v>
      </c>
      <c r="M40" s="292">
        <v>3.0249999999999999</v>
      </c>
      <c r="N40" s="290"/>
      <c r="O40" s="293">
        <v>5.7365000000000004</v>
      </c>
      <c r="P40" s="293">
        <v>5.3639999999999998E-3</v>
      </c>
      <c r="Q40" s="290">
        <v>6.4566666666666661</v>
      </c>
      <c r="R40" s="298"/>
      <c r="S40" s="298"/>
      <c r="T40" s="298"/>
      <c r="U40" s="292">
        <v>0.33057851239669422</v>
      </c>
      <c r="V40" s="292"/>
      <c r="W40" s="294"/>
      <c r="X40" s="295">
        <v>0</v>
      </c>
      <c r="Y40" s="290">
        <v>0</v>
      </c>
      <c r="Z40" s="290">
        <v>0</v>
      </c>
      <c r="AA40" s="290">
        <v>0</v>
      </c>
      <c r="AB40" s="290">
        <v>0</v>
      </c>
      <c r="AC40" s="91"/>
      <c r="AD40" s="91"/>
      <c r="AE40" s="290"/>
      <c r="AF40" s="287"/>
    </row>
    <row r="41" spans="1:32">
      <c r="A41" s="91" t="str">
        <f t="shared" si="0"/>
        <v>INDGDRHELCN3</v>
      </c>
      <c r="B41" s="131" t="s">
        <v>801</v>
      </c>
      <c r="C41" s="91"/>
      <c r="D41" s="288"/>
      <c r="E41" s="288"/>
      <c r="F41" s="91"/>
      <c r="G41" s="289" t="s">
        <v>792</v>
      </c>
      <c r="H41" s="289"/>
      <c r="I41" s="289"/>
      <c r="J41" s="290"/>
      <c r="K41" s="290"/>
      <c r="L41" s="291"/>
      <c r="M41" s="292"/>
      <c r="N41" s="290"/>
      <c r="O41" s="293"/>
      <c r="P41" s="293"/>
      <c r="Q41" s="290"/>
      <c r="R41" s="298"/>
      <c r="S41" s="298"/>
      <c r="T41" s="298"/>
      <c r="U41" s="292">
        <v>0.66942148760330578</v>
      </c>
      <c r="V41" s="298"/>
      <c r="W41" s="294"/>
      <c r="X41" s="295"/>
      <c r="Y41" s="290"/>
      <c r="Z41" s="290"/>
      <c r="AA41" s="290"/>
      <c r="AB41" s="290"/>
      <c r="AC41" s="91"/>
      <c r="AD41" s="91"/>
      <c r="AE41" s="290"/>
      <c r="AF41" s="287"/>
    </row>
    <row r="42" spans="1:32">
      <c r="A42" s="91" t="str">
        <f t="shared" si="0"/>
        <v>INDGDMTELCN4</v>
      </c>
      <c r="B42" s="131" t="s">
        <v>806</v>
      </c>
      <c r="C42" s="91"/>
      <c r="D42" s="288" t="s">
        <v>807</v>
      </c>
      <c r="E42" s="288" t="s">
        <v>808</v>
      </c>
      <c r="F42" s="91" t="s">
        <v>791</v>
      </c>
      <c r="G42" s="289" t="s">
        <v>310</v>
      </c>
      <c r="H42" s="289" t="s">
        <v>610</v>
      </c>
      <c r="I42" s="289"/>
      <c r="J42" s="290">
        <v>2020</v>
      </c>
      <c r="K42" s="290">
        <v>2020</v>
      </c>
      <c r="L42" s="291">
        <v>1</v>
      </c>
      <c r="M42" s="292">
        <v>1.93</v>
      </c>
      <c r="N42" s="290">
        <v>20</v>
      </c>
      <c r="O42" s="293">
        <v>12.158890687341184</v>
      </c>
      <c r="P42" s="293">
        <v>1.49E-2</v>
      </c>
      <c r="Q42" s="290">
        <v>7.1188888888888897</v>
      </c>
      <c r="R42" s="290">
        <v>3.1536000000000002E-2</v>
      </c>
      <c r="S42" s="292">
        <v>0.5</v>
      </c>
      <c r="T42" s="292">
        <v>8.0000000000000016E-2</v>
      </c>
      <c r="U42" s="292">
        <v>0.5181347150259068</v>
      </c>
      <c r="V42" s="292"/>
      <c r="W42" s="294"/>
      <c r="X42" s="295">
        <v>0</v>
      </c>
      <c r="Y42" s="290">
        <v>0</v>
      </c>
      <c r="Z42" s="290">
        <v>0</v>
      </c>
      <c r="AA42" s="290">
        <v>0</v>
      </c>
      <c r="AB42" s="290">
        <v>0</v>
      </c>
      <c r="AC42" s="91"/>
      <c r="AD42" s="91"/>
      <c r="AE42" s="290"/>
      <c r="AF42" s="287"/>
    </row>
    <row r="43" spans="1:32">
      <c r="A43" s="91" t="str">
        <f t="shared" si="0"/>
        <v>INDGDMTELCN4</v>
      </c>
      <c r="B43" s="131" t="s">
        <v>806</v>
      </c>
      <c r="C43" s="91"/>
      <c r="D43" s="288"/>
      <c r="E43" s="288"/>
      <c r="F43" s="91"/>
      <c r="G43" s="289" t="s">
        <v>792</v>
      </c>
      <c r="H43" s="289"/>
      <c r="I43" s="289"/>
      <c r="J43" s="290"/>
      <c r="K43" s="290"/>
      <c r="L43" s="291"/>
      <c r="M43" s="292"/>
      <c r="N43" s="290"/>
      <c r="O43" s="293"/>
      <c r="P43" s="293"/>
      <c r="Q43" s="290"/>
      <c r="R43" s="296"/>
      <c r="S43" s="297"/>
      <c r="T43" s="297"/>
      <c r="U43" s="292">
        <v>0.4818652849740932</v>
      </c>
      <c r="V43" s="297"/>
      <c r="W43" s="294"/>
      <c r="X43" s="295"/>
      <c r="Y43" s="290"/>
      <c r="Z43" s="290"/>
      <c r="AA43" s="290"/>
      <c r="AB43" s="290"/>
      <c r="AC43" s="91"/>
      <c r="AD43" s="91"/>
      <c r="AE43" s="290"/>
      <c r="AF43" s="287"/>
    </row>
    <row r="44" spans="1:32">
      <c r="A44" s="91" t="str">
        <f t="shared" si="0"/>
        <v>INDGDMTELCN4</v>
      </c>
      <c r="B44" s="131" t="s">
        <v>806</v>
      </c>
      <c r="C44" s="91"/>
      <c r="D44" s="288"/>
      <c r="E44" s="288"/>
      <c r="F44" s="91"/>
      <c r="G44" s="289" t="s">
        <v>310</v>
      </c>
      <c r="H44" s="289" t="s">
        <v>610</v>
      </c>
      <c r="I44" s="289"/>
      <c r="J44" s="290">
        <v>2030</v>
      </c>
      <c r="K44" s="290"/>
      <c r="L44" s="291">
        <v>1</v>
      </c>
      <c r="M44" s="292">
        <v>1.9894000000000001</v>
      </c>
      <c r="N44" s="290"/>
      <c r="O44" s="293">
        <v>9.8570539139933757</v>
      </c>
      <c r="P44" s="293">
        <v>1.49E-2</v>
      </c>
      <c r="Q44" s="290">
        <v>6.9740277777777777</v>
      </c>
      <c r="R44" s="298"/>
      <c r="S44" s="298"/>
      <c r="T44" s="298"/>
      <c r="U44" s="292">
        <v>0.50266411983512616</v>
      </c>
      <c r="V44" s="292"/>
      <c r="W44" s="294"/>
      <c r="X44" s="295">
        <v>0</v>
      </c>
      <c r="Y44" s="290">
        <v>0</v>
      </c>
      <c r="Z44" s="290">
        <v>0</v>
      </c>
      <c r="AA44" s="290">
        <v>0</v>
      </c>
      <c r="AB44" s="290">
        <v>0</v>
      </c>
      <c r="AC44" s="91"/>
      <c r="AD44" s="91"/>
      <c r="AE44" s="290"/>
      <c r="AF44" s="287"/>
    </row>
    <row r="45" spans="1:32">
      <c r="A45" s="91" t="str">
        <f t="shared" si="0"/>
        <v>INDGDMTELCN4</v>
      </c>
      <c r="B45" s="131" t="s">
        <v>806</v>
      </c>
      <c r="C45" s="91"/>
      <c r="D45" s="288"/>
      <c r="E45" s="288"/>
      <c r="F45" s="91"/>
      <c r="G45" s="289" t="s">
        <v>792</v>
      </c>
      <c r="H45" s="289"/>
      <c r="I45" s="289"/>
      <c r="J45" s="290"/>
      <c r="K45" s="290"/>
      <c r="L45" s="291"/>
      <c r="M45" s="292"/>
      <c r="N45" s="290"/>
      <c r="O45" s="293"/>
      <c r="P45" s="293"/>
      <c r="Q45" s="290"/>
      <c r="R45" s="298"/>
      <c r="S45" s="298"/>
      <c r="T45" s="298"/>
      <c r="U45" s="292">
        <v>0.49733588016487384</v>
      </c>
      <c r="V45" s="298"/>
      <c r="W45" s="294"/>
      <c r="X45" s="295"/>
      <c r="Y45" s="290"/>
      <c r="Z45" s="290"/>
      <c r="AA45" s="290"/>
      <c r="AB45" s="290"/>
      <c r="AC45" s="91"/>
      <c r="AD45" s="91"/>
      <c r="AE45" s="290"/>
      <c r="AF45" s="287"/>
    </row>
    <row r="46" spans="1:32">
      <c r="A46" s="91" t="str">
        <f t="shared" si="0"/>
        <v>INDGDMTELCN4</v>
      </c>
      <c r="B46" s="131" t="s">
        <v>806</v>
      </c>
      <c r="C46" s="91"/>
      <c r="D46" s="288"/>
      <c r="E46" s="288"/>
      <c r="F46" s="91"/>
      <c r="G46" s="289" t="s">
        <v>310</v>
      </c>
      <c r="H46" s="289" t="s">
        <v>610</v>
      </c>
      <c r="I46" s="289"/>
      <c r="J46" s="290">
        <v>2050</v>
      </c>
      <c r="K46" s="290"/>
      <c r="L46" s="291">
        <v>1</v>
      </c>
      <c r="M46" s="292">
        <v>2.0509898799999999</v>
      </c>
      <c r="N46" s="290"/>
      <c r="O46" s="293">
        <v>6.955935359434223</v>
      </c>
      <c r="P46" s="293">
        <v>1.49E-2</v>
      </c>
      <c r="Q46" s="290">
        <v>6.7877777777777784</v>
      </c>
      <c r="R46" s="298"/>
      <c r="S46" s="298"/>
      <c r="T46" s="298"/>
      <c r="U46" s="292">
        <v>0.48756944622271858</v>
      </c>
      <c r="V46" s="292"/>
      <c r="W46" s="294"/>
      <c r="X46" s="295">
        <v>0</v>
      </c>
      <c r="Y46" s="290">
        <v>0</v>
      </c>
      <c r="Z46" s="290">
        <v>0</v>
      </c>
      <c r="AA46" s="290">
        <v>0</v>
      </c>
      <c r="AB46" s="290">
        <v>0</v>
      </c>
      <c r="AC46" s="91"/>
      <c r="AD46" s="91"/>
      <c r="AE46" s="290"/>
      <c r="AF46" s="287"/>
    </row>
    <row r="47" spans="1:32">
      <c r="A47" s="91" t="str">
        <f t="shared" si="0"/>
        <v>INDGDMTELCN4</v>
      </c>
      <c r="B47" s="131" t="s">
        <v>806</v>
      </c>
      <c r="C47" s="91"/>
      <c r="D47" s="288"/>
      <c r="E47" s="288"/>
      <c r="F47" s="91"/>
      <c r="G47" s="289" t="s">
        <v>792</v>
      </c>
      <c r="H47" s="289"/>
      <c r="I47" s="289"/>
      <c r="J47" s="290"/>
      <c r="K47" s="290"/>
      <c r="L47" s="291"/>
      <c r="M47" s="292"/>
      <c r="N47" s="290"/>
      <c r="O47" s="293"/>
      <c r="P47" s="293"/>
      <c r="Q47" s="290"/>
      <c r="R47" s="298"/>
      <c r="S47" s="298"/>
      <c r="T47" s="298"/>
      <c r="U47" s="292">
        <v>0.51243055377728142</v>
      </c>
      <c r="V47" s="298"/>
      <c r="W47" s="294"/>
      <c r="X47" s="295"/>
      <c r="Y47" s="290"/>
      <c r="Z47" s="290"/>
      <c r="AA47" s="290"/>
      <c r="AB47" s="290"/>
      <c r="AC47" s="91"/>
      <c r="AD47" s="91"/>
      <c r="AE47" s="290"/>
      <c r="AF47" s="287"/>
    </row>
    <row r="48" spans="1:32">
      <c r="A48" s="91" t="str">
        <f t="shared" si="0"/>
        <v>INDGDRHELCN4</v>
      </c>
      <c r="B48" s="131" t="s">
        <v>806</v>
      </c>
      <c r="C48" s="91"/>
      <c r="D48" s="288" t="s">
        <v>809</v>
      </c>
      <c r="E48" s="288" t="s">
        <v>810</v>
      </c>
      <c r="F48" s="91" t="s">
        <v>791</v>
      </c>
      <c r="G48" s="289" t="s">
        <v>310</v>
      </c>
      <c r="H48" s="289" t="s">
        <v>795</v>
      </c>
      <c r="I48" s="289"/>
      <c r="J48" s="290">
        <v>2020</v>
      </c>
      <c r="K48" s="290">
        <v>2020</v>
      </c>
      <c r="L48" s="291">
        <v>1</v>
      </c>
      <c r="M48" s="292">
        <v>1.93</v>
      </c>
      <c r="N48" s="290">
        <v>20</v>
      </c>
      <c r="O48" s="293">
        <v>12.158890687341184</v>
      </c>
      <c r="P48" s="293">
        <v>1.49E-2</v>
      </c>
      <c r="Q48" s="290">
        <v>7.1188888888888897</v>
      </c>
      <c r="R48" s="290">
        <v>3.1536000000000002E-2</v>
      </c>
      <c r="S48" s="292">
        <v>0.5</v>
      </c>
      <c r="T48" s="292">
        <v>1</v>
      </c>
      <c r="U48" s="292">
        <v>0.5181347150259068</v>
      </c>
      <c r="V48" s="292"/>
      <c r="W48" s="294"/>
      <c r="X48" s="295">
        <v>0</v>
      </c>
      <c r="Y48" s="290">
        <v>0</v>
      </c>
      <c r="Z48" s="290">
        <v>0</v>
      </c>
      <c r="AA48" s="290">
        <v>0</v>
      </c>
      <c r="AB48" s="290">
        <v>0</v>
      </c>
      <c r="AC48" s="91"/>
      <c r="AD48" s="91"/>
      <c r="AE48" s="290"/>
      <c r="AF48" s="287"/>
    </row>
    <row r="49" spans="1:32">
      <c r="A49" s="91" t="str">
        <f t="shared" si="0"/>
        <v>INDGDRHELCN4</v>
      </c>
      <c r="B49" s="131" t="s">
        <v>806</v>
      </c>
      <c r="C49" s="91"/>
      <c r="D49" s="288"/>
      <c r="E49" s="288"/>
      <c r="F49" s="91"/>
      <c r="G49" s="289" t="s">
        <v>792</v>
      </c>
      <c r="H49" s="289"/>
      <c r="I49" s="289"/>
      <c r="J49" s="290"/>
      <c r="K49" s="290"/>
      <c r="L49" s="291"/>
      <c r="M49" s="292"/>
      <c r="N49" s="290"/>
      <c r="O49" s="293"/>
      <c r="P49" s="293"/>
      <c r="Q49" s="290"/>
      <c r="R49" s="296"/>
      <c r="S49" s="297"/>
      <c r="T49" s="297"/>
      <c r="U49" s="292">
        <v>0.4818652849740932</v>
      </c>
      <c r="V49" s="297"/>
      <c r="W49" s="294"/>
      <c r="X49" s="295"/>
      <c r="Y49" s="290"/>
      <c r="Z49" s="290"/>
      <c r="AA49" s="290"/>
      <c r="AB49" s="290"/>
      <c r="AC49" s="91"/>
      <c r="AD49" s="91"/>
      <c r="AE49" s="290"/>
      <c r="AF49" s="287"/>
    </row>
    <row r="50" spans="1:32">
      <c r="A50" s="91" t="str">
        <f t="shared" si="0"/>
        <v>INDGDRHELCN4</v>
      </c>
      <c r="B50" s="131" t="s">
        <v>806</v>
      </c>
      <c r="C50" s="91"/>
      <c r="D50" s="288"/>
      <c r="E50" s="288"/>
      <c r="F50" s="91"/>
      <c r="G50" s="289" t="s">
        <v>310</v>
      </c>
      <c r="H50" s="289" t="s">
        <v>795</v>
      </c>
      <c r="I50" s="289"/>
      <c r="J50" s="290">
        <v>2030</v>
      </c>
      <c r="K50" s="290"/>
      <c r="L50" s="291">
        <v>1</v>
      </c>
      <c r="M50" s="292">
        <v>1.9894000000000001</v>
      </c>
      <c r="N50" s="290"/>
      <c r="O50" s="293">
        <v>9.8570539139933757</v>
      </c>
      <c r="P50" s="293">
        <v>1.49E-2</v>
      </c>
      <c r="Q50" s="290">
        <v>6.9740277777777777</v>
      </c>
      <c r="R50" s="298"/>
      <c r="S50" s="298"/>
      <c r="T50" s="298"/>
      <c r="U50" s="292">
        <v>0.50266411983512616</v>
      </c>
      <c r="V50" s="292"/>
      <c r="W50" s="294"/>
      <c r="X50" s="295">
        <v>0</v>
      </c>
      <c r="Y50" s="290">
        <v>0</v>
      </c>
      <c r="Z50" s="290">
        <v>0</v>
      </c>
      <c r="AA50" s="290">
        <v>0</v>
      </c>
      <c r="AB50" s="290">
        <v>0</v>
      </c>
      <c r="AC50" s="91"/>
      <c r="AD50" s="91"/>
      <c r="AE50" s="290"/>
      <c r="AF50" s="287"/>
    </row>
    <row r="51" spans="1:32">
      <c r="A51" s="91" t="str">
        <f t="shared" si="0"/>
        <v>INDGDRHELCN4</v>
      </c>
      <c r="B51" s="131" t="s">
        <v>806</v>
      </c>
      <c r="C51" s="91"/>
      <c r="D51" s="288"/>
      <c r="E51" s="288"/>
      <c r="F51" s="91"/>
      <c r="G51" s="289" t="s">
        <v>792</v>
      </c>
      <c r="H51" s="289"/>
      <c r="I51" s="289"/>
      <c r="J51" s="290"/>
      <c r="K51" s="290"/>
      <c r="L51" s="291"/>
      <c r="M51" s="292"/>
      <c r="N51" s="290"/>
      <c r="O51" s="293"/>
      <c r="P51" s="293"/>
      <c r="Q51" s="290"/>
      <c r="R51" s="298"/>
      <c r="S51" s="298"/>
      <c r="T51" s="298"/>
      <c r="U51" s="292">
        <v>0.49733588016487384</v>
      </c>
      <c r="V51" s="298"/>
      <c r="W51" s="294"/>
      <c r="X51" s="295"/>
      <c r="Y51" s="290"/>
      <c r="Z51" s="290"/>
      <c r="AA51" s="290"/>
      <c r="AB51" s="290"/>
      <c r="AC51" s="91"/>
      <c r="AD51" s="91"/>
      <c r="AE51" s="290"/>
      <c r="AF51" s="287"/>
    </row>
    <row r="52" spans="1:32">
      <c r="A52" s="91" t="str">
        <f t="shared" si="0"/>
        <v>INDGDRHELCN4</v>
      </c>
      <c r="B52" s="131" t="s">
        <v>806</v>
      </c>
      <c r="C52" s="91"/>
      <c r="D52" s="288"/>
      <c r="E52" s="288"/>
      <c r="F52" s="91"/>
      <c r="G52" s="289" t="s">
        <v>310</v>
      </c>
      <c r="H52" s="289" t="s">
        <v>795</v>
      </c>
      <c r="I52" s="289"/>
      <c r="J52" s="290">
        <v>2050</v>
      </c>
      <c r="K52" s="290"/>
      <c r="L52" s="291">
        <v>1</v>
      </c>
      <c r="M52" s="292">
        <v>2.0509898799999999</v>
      </c>
      <c r="N52" s="290"/>
      <c r="O52" s="293">
        <v>6.955935359434223</v>
      </c>
      <c r="P52" s="293">
        <v>1.49E-2</v>
      </c>
      <c r="Q52" s="290">
        <v>6.7877777777777784</v>
      </c>
      <c r="R52" s="298"/>
      <c r="S52" s="298"/>
      <c r="T52" s="298"/>
      <c r="U52" s="292">
        <v>0.48756944622271858</v>
      </c>
      <c r="V52" s="292"/>
      <c r="W52" s="294"/>
      <c r="X52" s="295">
        <v>0</v>
      </c>
      <c r="Y52" s="290">
        <v>0</v>
      </c>
      <c r="Z52" s="290">
        <v>0</v>
      </c>
      <c r="AA52" s="290">
        <v>0</v>
      </c>
      <c r="AB52" s="290">
        <v>0</v>
      </c>
      <c r="AC52" s="91"/>
      <c r="AD52" s="91"/>
      <c r="AE52" s="290"/>
      <c r="AF52" s="287"/>
    </row>
    <row r="53" spans="1:32">
      <c r="A53" s="91" t="str">
        <f t="shared" si="0"/>
        <v>INDGDRHELCN4</v>
      </c>
      <c r="B53" s="131" t="s">
        <v>806</v>
      </c>
      <c r="C53" s="91"/>
      <c r="D53" s="288"/>
      <c r="E53" s="288"/>
      <c r="F53" s="91"/>
      <c r="G53" s="289" t="s">
        <v>792</v>
      </c>
      <c r="H53" s="289"/>
      <c r="I53" s="289"/>
      <c r="J53" s="290"/>
      <c r="K53" s="290"/>
      <c r="L53" s="291"/>
      <c r="M53" s="292"/>
      <c r="N53" s="290"/>
      <c r="O53" s="293"/>
      <c r="P53" s="293"/>
      <c r="Q53" s="290"/>
      <c r="R53" s="298"/>
      <c r="S53" s="298"/>
      <c r="T53" s="298"/>
      <c r="U53" s="292">
        <v>0.51243055377728142</v>
      </c>
      <c r="V53" s="298"/>
      <c r="W53" s="294"/>
      <c r="X53" s="295"/>
      <c r="Y53" s="290"/>
      <c r="Z53" s="290"/>
      <c r="AA53" s="290"/>
      <c r="AB53" s="290"/>
      <c r="AC53" s="91"/>
      <c r="AD53" s="91"/>
      <c r="AE53" s="290"/>
      <c r="AF53" s="287"/>
    </row>
    <row r="54" spans="1:32">
      <c r="A54" s="91" t="str">
        <f t="shared" si="0"/>
        <v>INDGDMTELCN5</v>
      </c>
      <c r="B54" s="131" t="s">
        <v>811</v>
      </c>
      <c r="C54" s="91"/>
      <c r="D54" s="288" t="s">
        <v>812</v>
      </c>
      <c r="E54" s="288" t="s">
        <v>813</v>
      </c>
      <c r="F54" s="91" t="s">
        <v>791</v>
      </c>
      <c r="G54" s="289" t="s">
        <v>310</v>
      </c>
      <c r="H54" s="289" t="s">
        <v>610</v>
      </c>
      <c r="I54" s="289"/>
      <c r="J54" s="290">
        <v>2020</v>
      </c>
      <c r="K54" s="290">
        <v>2020</v>
      </c>
      <c r="L54" s="291">
        <v>1</v>
      </c>
      <c r="M54" s="292">
        <v>12.1</v>
      </c>
      <c r="N54" s="290">
        <v>25</v>
      </c>
      <c r="O54" s="293">
        <v>2.6074999999999999</v>
      </c>
      <c r="P54" s="293">
        <v>1.49E-2</v>
      </c>
      <c r="Q54" s="290">
        <v>5.2356944444444444</v>
      </c>
      <c r="R54" s="290">
        <v>3.1536000000000002E-2</v>
      </c>
      <c r="S54" s="292">
        <v>0.5</v>
      </c>
      <c r="T54" s="292">
        <v>0.37</v>
      </c>
      <c r="U54" s="292">
        <v>8.2644628099173556E-2</v>
      </c>
      <c r="V54" s="292"/>
      <c r="W54" s="294"/>
      <c r="X54" s="295">
        <v>0</v>
      </c>
      <c r="Y54" s="290">
        <v>0</v>
      </c>
      <c r="Z54" s="290">
        <v>0</v>
      </c>
      <c r="AA54" s="290">
        <v>0</v>
      </c>
      <c r="AB54" s="290">
        <v>0</v>
      </c>
      <c r="AC54" s="91"/>
      <c r="AD54" s="91"/>
      <c r="AE54" s="290"/>
      <c r="AF54" s="287"/>
    </row>
    <row r="55" spans="1:32">
      <c r="A55" s="91" t="str">
        <f t="shared" si="0"/>
        <v>INDGDMTELCN5</v>
      </c>
      <c r="B55" s="131" t="s">
        <v>811</v>
      </c>
      <c r="C55" s="91"/>
      <c r="D55" s="288"/>
      <c r="E55" s="288"/>
      <c r="F55" s="91"/>
      <c r="G55" s="289" t="s">
        <v>792</v>
      </c>
      <c r="H55" s="289"/>
      <c r="I55" s="289"/>
      <c r="J55" s="290"/>
      <c r="K55" s="290"/>
      <c r="L55" s="292"/>
      <c r="M55" s="292"/>
      <c r="N55" s="290"/>
      <c r="O55" s="293"/>
      <c r="P55" s="293"/>
      <c r="Q55" s="290"/>
      <c r="R55" s="296"/>
      <c r="S55" s="297"/>
      <c r="T55" s="297"/>
      <c r="U55" s="292">
        <v>0.9173553719008265</v>
      </c>
      <c r="V55" s="297"/>
      <c r="W55" s="294"/>
      <c r="X55" s="295"/>
      <c r="Y55" s="290"/>
      <c r="Z55" s="290"/>
      <c r="AA55" s="290"/>
      <c r="AB55" s="290"/>
      <c r="AC55" s="91"/>
      <c r="AD55" s="91"/>
      <c r="AE55" s="290"/>
      <c r="AF55" s="287"/>
    </row>
    <row r="56" spans="1:32">
      <c r="A56" s="91" t="str">
        <f t="shared" si="0"/>
        <v>INDGDMTELCN5</v>
      </c>
      <c r="B56" s="131" t="s">
        <v>811</v>
      </c>
      <c r="C56" s="91"/>
      <c r="D56" s="288"/>
      <c r="E56" s="288"/>
      <c r="F56" s="91"/>
      <c r="G56" s="289" t="s">
        <v>310</v>
      </c>
      <c r="H56" s="289" t="s">
        <v>610</v>
      </c>
      <c r="I56" s="289"/>
      <c r="J56" s="290">
        <v>2030</v>
      </c>
      <c r="K56" s="290"/>
      <c r="L56" s="291">
        <v>1</v>
      </c>
      <c r="M56" s="292">
        <v>12.7</v>
      </c>
      <c r="N56" s="290"/>
      <c r="O56" s="293">
        <v>2.4585000000000004</v>
      </c>
      <c r="P56" s="293">
        <v>1.49E-2</v>
      </c>
      <c r="Q56" s="290">
        <v>5.0701388888888888</v>
      </c>
      <c r="R56" s="298"/>
      <c r="S56" s="298"/>
      <c r="T56" s="298"/>
      <c r="U56" s="292">
        <v>7.874015748031496E-2</v>
      </c>
      <c r="V56" s="292"/>
      <c r="W56" s="294"/>
      <c r="X56" s="295">
        <v>0</v>
      </c>
      <c r="Y56" s="290">
        <v>0</v>
      </c>
      <c r="Z56" s="290">
        <v>0</v>
      </c>
      <c r="AA56" s="290">
        <v>0</v>
      </c>
      <c r="AB56" s="290">
        <v>0</v>
      </c>
      <c r="AC56" s="91"/>
      <c r="AD56" s="91"/>
      <c r="AE56" s="290"/>
      <c r="AF56" s="287"/>
    </row>
    <row r="57" spans="1:32">
      <c r="A57" s="91" t="str">
        <f t="shared" si="0"/>
        <v>INDGDMTELCN5</v>
      </c>
      <c r="B57" s="131" t="s">
        <v>811</v>
      </c>
      <c r="C57" s="91"/>
      <c r="D57" s="288"/>
      <c r="E57" s="288"/>
      <c r="F57" s="91"/>
      <c r="G57" s="289" t="s">
        <v>792</v>
      </c>
      <c r="H57" s="289"/>
      <c r="I57" s="289"/>
      <c r="J57" s="290"/>
      <c r="K57" s="290"/>
      <c r="L57" s="292"/>
      <c r="M57" s="292"/>
      <c r="N57" s="290"/>
      <c r="O57" s="293"/>
      <c r="P57" s="293"/>
      <c r="Q57" s="290"/>
      <c r="R57" s="298"/>
      <c r="S57" s="298"/>
      <c r="T57" s="298"/>
      <c r="U57" s="292">
        <v>0.92125984251968507</v>
      </c>
      <c r="V57" s="298"/>
      <c r="W57" s="294"/>
      <c r="X57" s="295"/>
      <c r="Y57" s="290"/>
      <c r="Z57" s="290"/>
      <c r="AA57" s="290"/>
      <c r="AB57" s="290"/>
      <c r="AC57" s="91"/>
      <c r="AD57" s="91"/>
      <c r="AE57" s="290"/>
      <c r="AF57" s="287"/>
    </row>
    <row r="58" spans="1:32">
      <c r="A58" s="91" t="str">
        <f t="shared" si="0"/>
        <v>INDGDMTELCN5</v>
      </c>
      <c r="B58" s="131" t="s">
        <v>811</v>
      </c>
      <c r="C58" s="91"/>
      <c r="D58" s="288"/>
      <c r="E58" s="288"/>
      <c r="F58" s="91"/>
      <c r="G58" s="289" t="s">
        <v>310</v>
      </c>
      <c r="H58" s="289" t="s">
        <v>610</v>
      </c>
      <c r="I58" s="289"/>
      <c r="J58" s="290">
        <v>2050</v>
      </c>
      <c r="K58" s="290"/>
      <c r="L58" s="291">
        <v>1</v>
      </c>
      <c r="M58" s="292">
        <v>13.8</v>
      </c>
      <c r="N58" s="290"/>
      <c r="O58" s="293">
        <v>2.3094999999999999</v>
      </c>
      <c r="P58" s="293">
        <v>1.49E-2</v>
      </c>
      <c r="Q58" s="290">
        <v>4.8838888888888903</v>
      </c>
      <c r="R58" s="298"/>
      <c r="S58" s="298"/>
      <c r="T58" s="298"/>
      <c r="U58" s="292">
        <v>7.2463768115942032E-2</v>
      </c>
      <c r="V58" s="292"/>
      <c r="W58" s="294"/>
      <c r="X58" s="295">
        <v>0</v>
      </c>
      <c r="Y58" s="290">
        <v>0</v>
      </c>
      <c r="Z58" s="290">
        <v>0</v>
      </c>
      <c r="AA58" s="290">
        <v>0</v>
      </c>
      <c r="AB58" s="290">
        <v>0</v>
      </c>
      <c r="AC58" s="91"/>
      <c r="AD58" s="91"/>
      <c r="AE58" s="290"/>
      <c r="AF58" s="287"/>
    </row>
    <row r="59" spans="1:32" ht="15" thickBot="1">
      <c r="A59" s="91" t="str">
        <f t="shared" si="0"/>
        <v>INDGDMTELCN5</v>
      </c>
      <c r="B59" s="299" t="s">
        <v>811</v>
      </c>
      <c r="C59" s="300"/>
      <c r="D59" s="301"/>
      <c r="E59" s="301"/>
      <c r="F59" s="300"/>
      <c r="G59" s="302" t="s">
        <v>792</v>
      </c>
      <c r="H59" s="302"/>
      <c r="I59" s="302"/>
      <c r="J59" s="303"/>
      <c r="K59" s="303"/>
      <c r="L59" s="304"/>
      <c r="M59" s="304"/>
      <c r="N59" s="303"/>
      <c r="O59" s="305"/>
      <c r="P59" s="305"/>
      <c r="Q59" s="303"/>
      <c r="R59" s="306"/>
      <c r="S59" s="306"/>
      <c r="T59" s="306"/>
      <c r="U59" s="304">
        <v>0.92753623188405798</v>
      </c>
      <c r="V59" s="307"/>
      <c r="W59" s="308"/>
      <c r="X59" s="309"/>
      <c r="Y59" s="303"/>
      <c r="Z59" s="303"/>
      <c r="AA59" s="303"/>
      <c r="AB59" s="303"/>
      <c r="AC59" s="300"/>
      <c r="AD59" s="300"/>
      <c r="AE59" s="303"/>
      <c r="AF59" s="310"/>
    </row>
    <row r="60" spans="1:32">
      <c r="A60" s="91" t="str">
        <f t="shared" si="0"/>
        <v>INDGDHTWSTN1</v>
      </c>
      <c r="B60" s="131" t="s">
        <v>814</v>
      </c>
      <c r="C60" s="91"/>
      <c r="D60" s="288" t="s">
        <v>815</v>
      </c>
      <c r="E60" s="288" t="s">
        <v>816</v>
      </c>
      <c r="F60" s="91" t="s">
        <v>791</v>
      </c>
      <c r="G60" s="289" t="s">
        <v>817</v>
      </c>
      <c r="H60" s="289" t="s">
        <v>609</v>
      </c>
      <c r="I60" s="289" t="s">
        <v>792</v>
      </c>
      <c r="J60" s="311">
        <v>2020</v>
      </c>
      <c r="K60" s="311">
        <v>2020</v>
      </c>
      <c r="L60" s="312">
        <v>0.9</v>
      </c>
      <c r="M60" s="312"/>
      <c r="N60" s="311">
        <v>20</v>
      </c>
      <c r="O60" s="313">
        <v>3.7250000000000001</v>
      </c>
      <c r="P60" s="313">
        <v>2.98E-3</v>
      </c>
      <c r="Q60" s="311">
        <v>2.4315972222222224</v>
      </c>
      <c r="R60" s="311">
        <v>3.1536000000000002E-2</v>
      </c>
      <c r="S60" s="312">
        <v>0.5</v>
      </c>
      <c r="T60" s="312">
        <v>0.15</v>
      </c>
      <c r="U60" s="297"/>
      <c r="V60" s="312">
        <v>0.39999999999999997</v>
      </c>
      <c r="W60" s="294"/>
      <c r="X60" s="314">
        <v>8.3000000000000007</v>
      </c>
      <c r="Y60" s="311">
        <v>56</v>
      </c>
      <c r="Z60" s="311">
        <v>0.1</v>
      </c>
      <c r="AA60" s="311">
        <v>1</v>
      </c>
      <c r="AB60" s="311">
        <v>0.28999999999999998</v>
      </c>
      <c r="AC60" s="91"/>
      <c r="AD60" s="91"/>
      <c r="AE60" s="311"/>
      <c r="AF60" s="287"/>
    </row>
    <row r="61" spans="1:32">
      <c r="A61" s="91" t="str">
        <f t="shared" si="0"/>
        <v>INDGDHTWSTN1</v>
      </c>
      <c r="B61" s="131" t="s">
        <v>814</v>
      </c>
      <c r="C61" s="91"/>
      <c r="D61" s="288"/>
      <c r="E61" s="288"/>
      <c r="F61" s="91"/>
      <c r="G61" s="91"/>
      <c r="H61" s="289"/>
      <c r="I61" s="289" t="s">
        <v>792</v>
      </c>
      <c r="J61" s="290">
        <v>2030</v>
      </c>
      <c r="K61" s="290"/>
      <c r="L61" s="292">
        <v>0.91</v>
      </c>
      <c r="M61" s="292"/>
      <c r="N61" s="290"/>
      <c r="O61" s="293">
        <v>3.4642500000000003</v>
      </c>
      <c r="P61" s="293">
        <v>2.98E-3</v>
      </c>
      <c r="Q61" s="290">
        <v>2.4729861111111116</v>
      </c>
      <c r="R61" s="298"/>
      <c r="S61" s="298"/>
      <c r="T61" s="298"/>
      <c r="U61" s="298"/>
      <c r="V61" s="292">
        <v>0.38999999999999996</v>
      </c>
      <c r="W61" s="294"/>
      <c r="X61" s="295">
        <v>8.3000000000000007</v>
      </c>
      <c r="Y61" s="290">
        <v>45</v>
      </c>
      <c r="Z61" s="290">
        <v>0.1</v>
      </c>
      <c r="AA61" s="290">
        <v>1</v>
      </c>
      <c r="AB61" s="290">
        <v>0.28999999999999998</v>
      </c>
      <c r="AC61" s="91"/>
      <c r="AD61" s="91"/>
      <c r="AE61" s="290"/>
      <c r="AF61" s="287"/>
    </row>
    <row r="62" spans="1:32">
      <c r="A62" s="91" t="str">
        <f t="shared" si="0"/>
        <v>INDGDHTWSTN1</v>
      </c>
      <c r="B62" s="131" t="s">
        <v>814</v>
      </c>
      <c r="C62" s="91"/>
      <c r="D62" s="288"/>
      <c r="E62" s="288"/>
      <c r="F62" s="91"/>
      <c r="G62" s="91"/>
      <c r="H62" s="289"/>
      <c r="I62" s="289" t="s">
        <v>792</v>
      </c>
      <c r="J62" s="290">
        <v>2050</v>
      </c>
      <c r="K62" s="290"/>
      <c r="L62" s="292">
        <v>0.93</v>
      </c>
      <c r="M62" s="292"/>
      <c r="N62" s="290"/>
      <c r="O62" s="293">
        <v>3.3525</v>
      </c>
      <c r="P62" s="293">
        <v>2.98E-3</v>
      </c>
      <c r="Q62" s="290">
        <v>2.4936805555555561</v>
      </c>
      <c r="R62" s="298"/>
      <c r="S62" s="298"/>
      <c r="T62" s="298"/>
      <c r="U62" s="298"/>
      <c r="V62" s="292">
        <v>0.36999999999999994</v>
      </c>
      <c r="W62" s="294"/>
      <c r="X62" s="295">
        <v>8.3000000000000007</v>
      </c>
      <c r="Y62" s="290">
        <v>11</v>
      </c>
      <c r="Z62" s="290">
        <v>0.1</v>
      </c>
      <c r="AA62" s="290">
        <v>1</v>
      </c>
      <c r="AB62" s="290">
        <v>0.28999999999999998</v>
      </c>
      <c r="AC62" s="91"/>
      <c r="AD62" s="91"/>
      <c r="AE62" s="290"/>
      <c r="AF62" s="287"/>
    </row>
    <row r="63" spans="1:32">
      <c r="A63" s="91" t="str">
        <f t="shared" si="0"/>
        <v>INDGDMTELCN6</v>
      </c>
      <c r="B63" s="131" t="s">
        <v>818</v>
      </c>
      <c r="C63" s="91"/>
      <c r="D63" s="288" t="s">
        <v>819</v>
      </c>
      <c r="E63" s="288" t="s">
        <v>820</v>
      </c>
      <c r="F63" s="91" t="s">
        <v>791</v>
      </c>
      <c r="G63" s="289" t="s">
        <v>310</v>
      </c>
      <c r="H63" s="289" t="s">
        <v>610</v>
      </c>
      <c r="I63" s="289" t="s">
        <v>792</v>
      </c>
      <c r="J63" s="290">
        <v>2020</v>
      </c>
      <c r="K63" s="290">
        <v>2020</v>
      </c>
      <c r="L63" s="292">
        <v>0.95</v>
      </c>
      <c r="M63" s="292"/>
      <c r="N63" s="290">
        <v>30</v>
      </c>
      <c r="O63" s="293">
        <v>20.115000000000002</v>
      </c>
      <c r="P63" s="293">
        <v>0</v>
      </c>
      <c r="Q63" s="290">
        <v>94.828152777777774</v>
      </c>
      <c r="R63" s="290">
        <v>3.1536000000000002E-2</v>
      </c>
      <c r="S63" s="292">
        <v>0.5</v>
      </c>
      <c r="T63" s="292">
        <v>0.05</v>
      </c>
      <c r="U63" s="297"/>
      <c r="V63" s="292">
        <v>0.25000000000000006</v>
      </c>
      <c r="W63" s="294"/>
      <c r="X63" s="295">
        <v>0</v>
      </c>
      <c r="Y63" s="290">
        <v>0</v>
      </c>
      <c r="Z63" s="290">
        <v>0</v>
      </c>
      <c r="AA63" s="290">
        <v>0</v>
      </c>
      <c r="AB63" s="290">
        <v>0</v>
      </c>
      <c r="AC63" s="91"/>
      <c r="AD63" s="91"/>
      <c r="AE63" s="290"/>
      <c r="AF63" s="287"/>
    </row>
    <row r="64" spans="1:32">
      <c r="A64" s="91" t="str">
        <f t="shared" si="0"/>
        <v>INDGDMTELCN6</v>
      </c>
      <c r="B64" s="131" t="s">
        <v>818</v>
      </c>
      <c r="C64" s="91"/>
      <c r="D64" s="288"/>
      <c r="E64" s="288"/>
      <c r="F64" s="91"/>
      <c r="G64" s="91"/>
      <c r="H64" s="289"/>
      <c r="I64" s="289" t="s">
        <v>792</v>
      </c>
      <c r="J64" s="290">
        <v>2030</v>
      </c>
      <c r="K64" s="290"/>
      <c r="L64" s="292">
        <v>0.95</v>
      </c>
      <c r="M64" s="292"/>
      <c r="N64" s="290"/>
      <c r="O64" s="293">
        <v>19.511550000000003</v>
      </c>
      <c r="P64" s="293">
        <v>0</v>
      </c>
      <c r="Q64" s="290">
        <v>94.832291666666663</v>
      </c>
      <c r="R64" s="298"/>
      <c r="S64" s="298"/>
      <c r="T64" s="298"/>
      <c r="U64" s="298"/>
      <c r="V64" s="292">
        <v>0.25000000000000006</v>
      </c>
      <c r="W64" s="294"/>
      <c r="X64" s="295">
        <v>0</v>
      </c>
      <c r="Y64" s="290">
        <v>0</v>
      </c>
      <c r="Z64" s="290">
        <v>0</v>
      </c>
      <c r="AA64" s="290">
        <v>0</v>
      </c>
      <c r="AB64" s="290">
        <v>0</v>
      </c>
      <c r="AC64" s="91"/>
      <c r="AD64" s="91"/>
      <c r="AE64" s="290"/>
      <c r="AF64" s="287"/>
    </row>
    <row r="65" spans="1:32">
      <c r="A65" s="91" t="str">
        <f t="shared" si="0"/>
        <v>INDGDMTELCN6</v>
      </c>
      <c r="B65" s="131" t="s">
        <v>818</v>
      </c>
      <c r="C65" s="91"/>
      <c r="D65" s="288"/>
      <c r="E65" s="288"/>
      <c r="F65" s="91"/>
      <c r="G65" s="91"/>
      <c r="H65" s="289"/>
      <c r="I65" s="289" t="s">
        <v>792</v>
      </c>
      <c r="J65" s="290">
        <v>2050</v>
      </c>
      <c r="K65" s="290"/>
      <c r="L65" s="292">
        <v>0.95</v>
      </c>
      <c r="M65" s="292"/>
      <c r="N65" s="290"/>
      <c r="O65" s="293">
        <v>18.1035</v>
      </c>
      <c r="P65" s="293">
        <v>0</v>
      </c>
      <c r="Q65" s="290">
        <v>94.834361111111107</v>
      </c>
      <c r="R65" s="298"/>
      <c r="S65" s="298"/>
      <c r="T65" s="298"/>
      <c r="U65" s="298"/>
      <c r="V65" s="292">
        <v>0.25000000000000006</v>
      </c>
      <c r="W65" s="294"/>
      <c r="X65" s="295">
        <v>0</v>
      </c>
      <c r="Y65" s="290">
        <v>0</v>
      </c>
      <c r="Z65" s="290">
        <v>0</v>
      </c>
      <c r="AA65" s="290">
        <v>0</v>
      </c>
      <c r="AB65" s="290">
        <v>0</v>
      </c>
      <c r="AC65" s="91"/>
      <c r="AD65" s="91"/>
      <c r="AE65" s="290"/>
      <c r="AF65" s="287"/>
    </row>
    <row r="66" spans="1:32">
      <c r="A66" s="91" t="str">
        <f t="shared" si="0"/>
        <v>INDGDMTELCN7</v>
      </c>
      <c r="B66" s="131" t="s">
        <v>821</v>
      </c>
      <c r="C66" s="91"/>
      <c r="D66" s="288" t="s">
        <v>822</v>
      </c>
      <c r="E66" s="288" t="s">
        <v>823</v>
      </c>
      <c r="F66" s="91" t="s">
        <v>791</v>
      </c>
      <c r="G66" s="289" t="s">
        <v>310</v>
      </c>
      <c r="H66" s="289" t="s">
        <v>610</v>
      </c>
      <c r="I66" s="289" t="s">
        <v>792</v>
      </c>
      <c r="J66" s="290">
        <v>2020</v>
      </c>
      <c r="K66" s="290">
        <v>2020</v>
      </c>
      <c r="L66" s="292">
        <v>0.96</v>
      </c>
      <c r="M66" s="292"/>
      <c r="N66" s="290">
        <v>30</v>
      </c>
      <c r="O66" s="293">
        <v>2.6074999999999999</v>
      </c>
      <c r="P66" s="293">
        <v>0</v>
      </c>
      <c r="Q66" s="290">
        <v>242.27606944444443</v>
      </c>
      <c r="R66" s="290">
        <v>3.1536000000000002E-2</v>
      </c>
      <c r="S66" s="292">
        <v>0.5</v>
      </c>
      <c r="T66" s="292">
        <v>0.03</v>
      </c>
      <c r="U66" s="297"/>
      <c r="V66" s="292">
        <v>0.24000000000000005</v>
      </c>
      <c r="W66" s="294"/>
      <c r="X66" s="295">
        <v>0</v>
      </c>
      <c r="Y66" s="290">
        <v>0</v>
      </c>
      <c r="Z66" s="290">
        <v>0</v>
      </c>
      <c r="AA66" s="290">
        <v>0</v>
      </c>
      <c r="AB66" s="290">
        <v>0</v>
      </c>
      <c r="AC66" s="91"/>
      <c r="AD66" s="91"/>
      <c r="AE66" s="290"/>
      <c r="AF66" s="287"/>
    </row>
    <row r="67" spans="1:32">
      <c r="A67" s="91" t="str">
        <f t="shared" si="0"/>
        <v>INDGDMTELCN7</v>
      </c>
      <c r="B67" s="131" t="s">
        <v>821</v>
      </c>
      <c r="C67" s="91"/>
      <c r="D67" s="288"/>
      <c r="E67" s="288"/>
      <c r="F67" s="91"/>
      <c r="G67" s="91"/>
      <c r="H67" s="289"/>
      <c r="I67" s="289" t="s">
        <v>792</v>
      </c>
      <c r="J67" s="290">
        <v>2030</v>
      </c>
      <c r="K67" s="290"/>
      <c r="L67" s="292">
        <v>0.96</v>
      </c>
      <c r="M67" s="292"/>
      <c r="N67" s="290"/>
      <c r="O67" s="293">
        <v>2.5330000000000004</v>
      </c>
      <c r="P67" s="293">
        <v>0</v>
      </c>
      <c r="Q67" s="290">
        <v>242.28020833333332</v>
      </c>
      <c r="R67" s="298"/>
      <c r="S67" s="298"/>
      <c r="T67" s="298"/>
      <c r="U67" s="298"/>
      <c r="V67" s="292">
        <v>0.24000000000000005</v>
      </c>
      <c r="W67" s="294"/>
      <c r="X67" s="295">
        <v>0</v>
      </c>
      <c r="Y67" s="290">
        <v>0</v>
      </c>
      <c r="Z67" s="290">
        <v>0</v>
      </c>
      <c r="AA67" s="290">
        <v>0</v>
      </c>
      <c r="AB67" s="290">
        <v>0</v>
      </c>
      <c r="AC67" s="91"/>
      <c r="AD67" s="91"/>
      <c r="AE67" s="290"/>
      <c r="AF67" s="287"/>
    </row>
    <row r="68" spans="1:32">
      <c r="A68" s="91" t="str">
        <f t="shared" si="0"/>
        <v>INDGDMTELCN7</v>
      </c>
      <c r="B68" s="131" t="s">
        <v>821</v>
      </c>
      <c r="C68" s="91"/>
      <c r="D68" s="288"/>
      <c r="E68" s="288"/>
      <c r="F68" s="91"/>
      <c r="G68" s="91"/>
      <c r="H68" s="289"/>
      <c r="I68" s="289" t="s">
        <v>792</v>
      </c>
      <c r="J68" s="290">
        <v>2050</v>
      </c>
      <c r="K68" s="290"/>
      <c r="L68" s="292">
        <v>0.96</v>
      </c>
      <c r="M68" s="292"/>
      <c r="N68" s="290"/>
      <c r="O68" s="293">
        <v>2.3467500000000001</v>
      </c>
      <c r="P68" s="293">
        <v>0</v>
      </c>
      <c r="Q68" s="290">
        <v>242.28227777777775</v>
      </c>
      <c r="R68" s="298"/>
      <c r="S68" s="298"/>
      <c r="T68" s="298"/>
      <c r="U68" s="298"/>
      <c r="V68" s="292">
        <v>0.24000000000000005</v>
      </c>
      <c r="W68" s="294"/>
      <c r="X68" s="295">
        <v>0</v>
      </c>
      <c r="Y68" s="290">
        <v>0</v>
      </c>
      <c r="Z68" s="290">
        <v>0</v>
      </c>
      <c r="AA68" s="290">
        <v>0</v>
      </c>
      <c r="AB68" s="290">
        <v>0</v>
      </c>
      <c r="AC68" s="91"/>
      <c r="AD68" s="91"/>
      <c r="AE68" s="290"/>
      <c r="AF68" s="287"/>
    </row>
    <row r="69" spans="1:32">
      <c r="A69" s="91" t="str">
        <f t="shared" si="0"/>
        <v>INDGDHTELCN8</v>
      </c>
      <c r="B69" s="131" t="s">
        <v>824</v>
      </c>
      <c r="C69" s="91"/>
      <c r="D69" s="288" t="s">
        <v>825</v>
      </c>
      <c r="E69" s="288" t="s">
        <v>826</v>
      </c>
      <c r="F69" s="91" t="s">
        <v>791</v>
      </c>
      <c r="G69" s="289" t="s">
        <v>310</v>
      </c>
      <c r="H69" s="289" t="s">
        <v>609</v>
      </c>
      <c r="I69" s="289" t="s">
        <v>792</v>
      </c>
      <c r="J69" s="290">
        <v>2020</v>
      </c>
      <c r="K69" s="290">
        <v>2020</v>
      </c>
      <c r="L69" s="292">
        <v>0.99</v>
      </c>
      <c r="M69" s="292"/>
      <c r="N69" s="290">
        <v>25</v>
      </c>
      <c r="O69" s="293">
        <v>0.59599999999999997</v>
      </c>
      <c r="P69" s="293">
        <v>7.9714999999999994E-3</v>
      </c>
      <c r="Q69" s="290">
        <v>1.7900694444444445</v>
      </c>
      <c r="R69" s="290">
        <v>3.1536000000000002E-2</v>
      </c>
      <c r="S69" s="292">
        <v>0.5</v>
      </c>
      <c r="T69" s="292">
        <v>1</v>
      </c>
      <c r="U69" s="297"/>
      <c r="V69" s="292">
        <v>0.31</v>
      </c>
      <c r="W69" s="294"/>
      <c r="X69" s="295">
        <v>0</v>
      </c>
      <c r="Y69" s="290">
        <v>0</v>
      </c>
      <c r="Z69" s="290">
        <v>0</v>
      </c>
      <c r="AA69" s="290">
        <v>0</v>
      </c>
      <c r="AB69" s="290">
        <v>0</v>
      </c>
      <c r="AC69" s="91"/>
      <c r="AD69" s="91"/>
      <c r="AE69" s="290"/>
      <c r="AF69" s="287"/>
    </row>
    <row r="70" spans="1:32">
      <c r="A70" s="91" t="str">
        <f t="shared" si="0"/>
        <v>INDGDHTELCN8</v>
      </c>
      <c r="B70" s="131" t="s">
        <v>824</v>
      </c>
      <c r="C70" s="91"/>
      <c r="D70" s="288"/>
      <c r="E70" s="288"/>
      <c r="F70" s="91"/>
      <c r="G70" s="91"/>
      <c r="H70" s="289"/>
      <c r="I70" s="289" t="s">
        <v>792</v>
      </c>
      <c r="J70" s="290">
        <v>2030</v>
      </c>
      <c r="K70" s="290"/>
      <c r="L70" s="292">
        <v>0.99</v>
      </c>
      <c r="M70" s="292"/>
      <c r="N70" s="290"/>
      <c r="O70" s="293">
        <v>0.52150000000000007</v>
      </c>
      <c r="P70" s="293">
        <v>7.5989999999999999E-3</v>
      </c>
      <c r="Q70" s="290">
        <v>1.8107638888888888</v>
      </c>
      <c r="R70" s="298"/>
      <c r="S70" s="298"/>
      <c r="T70" s="298"/>
      <c r="U70" s="298"/>
      <c r="V70" s="292">
        <v>0.31</v>
      </c>
      <c r="W70" s="294"/>
      <c r="X70" s="295">
        <v>0</v>
      </c>
      <c r="Y70" s="290">
        <v>0</v>
      </c>
      <c r="Z70" s="290">
        <v>0</v>
      </c>
      <c r="AA70" s="290">
        <v>0</v>
      </c>
      <c r="AB70" s="290">
        <v>0</v>
      </c>
      <c r="AC70" s="91"/>
      <c r="AD70" s="91"/>
      <c r="AE70" s="290"/>
      <c r="AF70" s="287"/>
    </row>
    <row r="71" spans="1:32">
      <c r="A71" s="91" t="str">
        <f t="shared" ref="A71:A134" si="1">IF(D71&gt;0,D71,A70)</f>
        <v>INDGDHTELCN8</v>
      </c>
      <c r="B71" s="131" t="s">
        <v>824</v>
      </c>
      <c r="C71" s="91"/>
      <c r="D71" s="288"/>
      <c r="E71" s="288"/>
      <c r="F71" s="91"/>
      <c r="G71" s="91"/>
      <c r="H71" s="289"/>
      <c r="I71" s="289" t="s">
        <v>792</v>
      </c>
      <c r="J71" s="290">
        <v>2050</v>
      </c>
      <c r="K71" s="290"/>
      <c r="L71" s="292">
        <v>0.99</v>
      </c>
      <c r="M71" s="292"/>
      <c r="N71" s="290"/>
      <c r="O71" s="293">
        <v>0.52150000000000007</v>
      </c>
      <c r="P71" s="293">
        <v>6.8539999999999998E-3</v>
      </c>
      <c r="Q71" s="290">
        <v>1.6141666666666665</v>
      </c>
      <c r="R71" s="298"/>
      <c r="S71" s="298"/>
      <c r="T71" s="298"/>
      <c r="U71" s="298"/>
      <c r="V71" s="292">
        <v>0.31</v>
      </c>
      <c r="W71" s="294"/>
      <c r="X71" s="295">
        <v>0</v>
      </c>
      <c r="Y71" s="290">
        <v>0</v>
      </c>
      <c r="Z71" s="290">
        <v>0</v>
      </c>
      <c r="AA71" s="290">
        <v>0</v>
      </c>
      <c r="AB71" s="290">
        <v>0</v>
      </c>
      <c r="AC71" s="91"/>
      <c r="AD71" s="91"/>
      <c r="AE71" s="290"/>
      <c r="AF71" s="287"/>
    </row>
    <row r="72" spans="1:32">
      <c r="A72" s="91" t="str">
        <f t="shared" si="1"/>
        <v>INDGDMTELCN8</v>
      </c>
      <c r="B72" s="131" t="s">
        <v>824</v>
      </c>
      <c r="C72" s="91"/>
      <c r="D72" s="288" t="s">
        <v>827</v>
      </c>
      <c r="E72" s="288" t="s">
        <v>828</v>
      </c>
      <c r="F72" s="91" t="s">
        <v>791</v>
      </c>
      <c r="G72" s="289" t="s">
        <v>310</v>
      </c>
      <c r="H72" s="289" t="s">
        <v>610</v>
      </c>
      <c r="I72" s="289" t="s">
        <v>792</v>
      </c>
      <c r="J72" s="290">
        <v>2020</v>
      </c>
      <c r="K72" s="290">
        <v>2020</v>
      </c>
      <c r="L72" s="292">
        <v>0.99</v>
      </c>
      <c r="M72" s="292"/>
      <c r="N72" s="290">
        <v>25</v>
      </c>
      <c r="O72" s="293">
        <v>0.59599999999999997</v>
      </c>
      <c r="P72" s="293">
        <v>7.9714999999999994E-3</v>
      </c>
      <c r="Q72" s="290">
        <v>1.7900694444444445</v>
      </c>
      <c r="R72" s="290">
        <v>3.1536000000000002E-2</v>
      </c>
      <c r="S72" s="292">
        <v>0.5</v>
      </c>
      <c r="T72" s="292">
        <v>1</v>
      </c>
      <c r="U72" s="297"/>
      <c r="V72" s="292">
        <v>0.21000000000000002</v>
      </c>
      <c r="W72" s="294"/>
      <c r="X72" s="295">
        <v>0</v>
      </c>
      <c r="Y72" s="290">
        <v>0</v>
      </c>
      <c r="Z72" s="290">
        <v>0</v>
      </c>
      <c r="AA72" s="290">
        <v>0</v>
      </c>
      <c r="AB72" s="290">
        <v>0</v>
      </c>
      <c r="AC72" s="91"/>
      <c r="AD72" s="91"/>
      <c r="AE72" s="290"/>
      <c r="AF72" s="287"/>
    </row>
    <row r="73" spans="1:32">
      <c r="A73" s="91" t="str">
        <f t="shared" si="1"/>
        <v>INDGDMTELCN8</v>
      </c>
      <c r="B73" s="131" t="s">
        <v>824</v>
      </c>
      <c r="C73" s="91"/>
      <c r="D73" s="288"/>
      <c r="E73" s="288"/>
      <c r="F73" s="91"/>
      <c r="G73" s="91"/>
      <c r="H73" s="289"/>
      <c r="I73" s="289" t="s">
        <v>792</v>
      </c>
      <c r="J73" s="290">
        <v>2030</v>
      </c>
      <c r="K73" s="290"/>
      <c r="L73" s="292">
        <v>0.99</v>
      </c>
      <c r="M73" s="292"/>
      <c r="N73" s="290"/>
      <c r="O73" s="293">
        <v>0.52150000000000007</v>
      </c>
      <c r="P73" s="293">
        <v>7.5989999999999999E-3</v>
      </c>
      <c r="Q73" s="290">
        <v>1.8107638888888888</v>
      </c>
      <c r="R73" s="298"/>
      <c r="S73" s="298"/>
      <c r="T73" s="298"/>
      <c r="U73" s="298"/>
      <c r="V73" s="292">
        <v>0.21000000000000002</v>
      </c>
      <c r="W73" s="294"/>
      <c r="X73" s="295">
        <v>0</v>
      </c>
      <c r="Y73" s="290">
        <v>0</v>
      </c>
      <c r="Z73" s="290">
        <v>0</v>
      </c>
      <c r="AA73" s="290">
        <v>0</v>
      </c>
      <c r="AB73" s="290">
        <v>0</v>
      </c>
      <c r="AC73" s="91"/>
      <c r="AD73" s="91"/>
      <c r="AE73" s="290"/>
      <c r="AF73" s="287"/>
    </row>
    <row r="74" spans="1:32">
      <c r="A74" s="91" t="str">
        <f t="shared" si="1"/>
        <v>INDGDMTELCN8</v>
      </c>
      <c r="B74" s="131" t="s">
        <v>824</v>
      </c>
      <c r="C74" s="91"/>
      <c r="D74" s="288"/>
      <c r="E74" s="288"/>
      <c r="F74" s="91"/>
      <c r="G74" s="91"/>
      <c r="H74" s="289"/>
      <c r="I74" s="289" t="s">
        <v>792</v>
      </c>
      <c r="J74" s="290">
        <v>2050</v>
      </c>
      <c r="K74" s="290"/>
      <c r="L74" s="292">
        <v>0.99</v>
      </c>
      <c r="M74" s="292"/>
      <c r="N74" s="290"/>
      <c r="O74" s="293">
        <v>0.52150000000000007</v>
      </c>
      <c r="P74" s="293">
        <v>6.8539999999999998E-3</v>
      </c>
      <c r="Q74" s="290">
        <v>1.6141666666666665</v>
      </c>
      <c r="R74" s="298"/>
      <c r="S74" s="298"/>
      <c r="T74" s="298"/>
      <c r="U74" s="298"/>
      <c r="V74" s="292">
        <v>0.21000000000000002</v>
      </c>
      <c r="W74" s="294"/>
      <c r="X74" s="295">
        <v>0</v>
      </c>
      <c r="Y74" s="290">
        <v>0</v>
      </c>
      <c r="Z74" s="290">
        <v>0</v>
      </c>
      <c r="AA74" s="290">
        <v>0</v>
      </c>
      <c r="AB74" s="290">
        <v>0</v>
      </c>
      <c r="AC74" s="91"/>
      <c r="AD74" s="91"/>
      <c r="AE74" s="315"/>
      <c r="AF74" s="287"/>
    </row>
    <row r="75" spans="1:32">
      <c r="A75" s="91" t="str">
        <f t="shared" si="1"/>
        <v>INDGDRHELCN8</v>
      </c>
      <c r="B75" s="131" t="s">
        <v>824</v>
      </c>
      <c r="C75" s="91"/>
      <c r="D75" s="288" t="s">
        <v>829</v>
      </c>
      <c r="E75" s="288" t="s">
        <v>830</v>
      </c>
      <c r="F75" s="91" t="s">
        <v>791</v>
      </c>
      <c r="G75" s="289" t="s">
        <v>310</v>
      </c>
      <c r="H75" s="289" t="s">
        <v>795</v>
      </c>
      <c r="I75" s="289" t="s">
        <v>792</v>
      </c>
      <c r="J75" s="290">
        <v>2020</v>
      </c>
      <c r="K75" s="290">
        <v>2020</v>
      </c>
      <c r="L75" s="292">
        <v>0.99</v>
      </c>
      <c r="M75" s="292"/>
      <c r="N75" s="290">
        <v>25</v>
      </c>
      <c r="O75" s="293">
        <v>0.59599999999999997</v>
      </c>
      <c r="P75" s="293">
        <v>7.9714999999999994E-3</v>
      </c>
      <c r="Q75" s="290">
        <v>1.7900694444444445</v>
      </c>
      <c r="R75" s="290">
        <v>3.1536000000000002E-2</v>
      </c>
      <c r="S75" s="292">
        <v>0.5</v>
      </c>
      <c r="T75" s="292">
        <v>1</v>
      </c>
      <c r="U75" s="297"/>
      <c r="V75" s="292">
        <v>1.0000000000000009E-2</v>
      </c>
      <c r="W75" s="294"/>
      <c r="X75" s="295">
        <v>0</v>
      </c>
      <c r="Y75" s="290">
        <v>0</v>
      </c>
      <c r="Z75" s="290">
        <v>0</v>
      </c>
      <c r="AA75" s="290">
        <v>0</v>
      </c>
      <c r="AB75" s="290">
        <v>0</v>
      </c>
      <c r="AC75" s="89"/>
      <c r="AD75" s="89"/>
      <c r="AE75" s="290"/>
      <c r="AF75" s="316"/>
    </row>
    <row r="76" spans="1:32">
      <c r="A76" s="91" t="str">
        <f t="shared" si="1"/>
        <v>INDGDRHELCN8</v>
      </c>
      <c r="B76" s="131" t="s">
        <v>824</v>
      </c>
      <c r="C76" s="91"/>
      <c r="D76" s="288"/>
      <c r="E76" s="288"/>
      <c r="F76" s="91"/>
      <c r="G76" s="91"/>
      <c r="H76" s="289"/>
      <c r="I76" s="289" t="s">
        <v>792</v>
      </c>
      <c r="J76" s="290">
        <v>2030</v>
      </c>
      <c r="K76" s="290"/>
      <c r="L76" s="292">
        <v>0.99</v>
      </c>
      <c r="M76" s="292"/>
      <c r="N76" s="290"/>
      <c r="O76" s="293">
        <v>0.52150000000000007</v>
      </c>
      <c r="P76" s="293">
        <v>7.5989999999999999E-3</v>
      </c>
      <c r="Q76" s="290">
        <v>1.8107638888888888</v>
      </c>
      <c r="R76" s="298"/>
      <c r="S76" s="298"/>
      <c r="T76" s="298"/>
      <c r="U76" s="298"/>
      <c r="V76" s="292">
        <v>1.0000000000000009E-2</v>
      </c>
      <c r="W76" s="294"/>
      <c r="X76" s="295">
        <v>0</v>
      </c>
      <c r="Y76" s="290">
        <v>0</v>
      </c>
      <c r="Z76" s="290">
        <v>0</v>
      </c>
      <c r="AA76" s="290">
        <v>0</v>
      </c>
      <c r="AB76" s="290">
        <v>0</v>
      </c>
      <c r="AC76" s="91"/>
      <c r="AD76" s="91"/>
      <c r="AE76" s="290"/>
      <c r="AF76" s="317"/>
    </row>
    <row r="77" spans="1:32">
      <c r="A77" s="91" t="str">
        <f t="shared" si="1"/>
        <v>INDGDRHELCN8</v>
      </c>
      <c r="B77" s="131" t="s">
        <v>824</v>
      </c>
      <c r="C77" s="91"/>
      <c r="D77" s="288"/>
      <c r="E77" s="288"/>
      <c r="F77" s="91"/>
      <c r="G77" s="91"/>
      <c r="H77" s="289"/>
      <c r="I77" s="289" t="s">
        <v>792</v>
      </c>
      <c r="J77" s="315">
        <v>2050</v>
      </c>
      <c r="K77" s="315"/>
      <c r="L77" s="292">
        <v>0.99</v>
      </c>
      <c r="M77" s="318"/>
      <c r="N77" s="315"/>
      <c r="O77" s="319">
        <v>0.52150000000000007</v>
      </c>
      <c r="P77" s="319">
        <v>6.8539999999999998E-3</v>
      </c>
      <c r="Q77" s="315">
        <v>1.6141666666666665</v>
      </c>
      <c r="R77" s="298"/>
      <c r="S77" s="298"/>
      <c r="T77" s="298"/>
      <c r="U77" s="298"/>
      <c r="V77" s="292">
        <v>1.0000000000000009E-2</v>
      </c>
      <c r="W77" s="294"/>
      <c r="X77" s="295">
        <v>0</v>
      </c>
      <c r="Y77" s="315">
        <v>0</v>
      </c>
      <c r="Z77" s="315">
        <v>0</v>
      </c>
      <c r="AA77" s="315">
        <v>0</v>
      </c>
      <c r="AB77" s="315">
        <v>0</v>
      </c>
      <c r="AC77" s="91"/>
      <c r="AD77" s="91"/>
      <c r="AE77" s="290"/>
      <c r="AF77" s="317"/>
    </row>
    <row r="78" spans="1:32">
      <c r="A78" s="91" t="str">
        <f t="shared" si="1"/>
        <v>INDGDMTELCN9</v>
      </c>
      <c r="B78" s="129" t="s">
        <v>824</v>
      </c>
      <c r="C78" s="89"/>
      <c r="D78" s="320" t="s">
        <v>831</v>
      </c>
      <c r="E78" s="320" t="s">
        <v>832</v>
      </c>
      <c r="F78" s="89" t="s">
        <v>791</v>
      </c>
      <c r="G78" s="321" t="s">
        <v>310</v>
      </c>
      <c r="H78" s="321" t="s">
        <v>610</v>
      </c>
      <c r="I78" s="321" t="s">
        <v>792</v>
      </c>
      <c r="J78" s="290">
        <v>2020</v>
      </c>
      <c r="K78" s="290">
        <v>2020</v>
      </c>
      <c r="L78" s="292">
        <v>0.99</v>
      </c>
      <c r="M78" s="292"/>
      <c r="N78" s="290">
        <v>25</v>
      </c>
      <c r="O78" s="293">
        <v>0.52150000000000007</v>
      </c>
      <c r="P78" s="293">
        <v>7.9714999999999994E-3</v>
      </c>
      <c r="Q78" s="290">
        <v>1.7900694444444445</v>
      </c>
      <c r="R78" s="290">
        <v>3.1536000000000002E-2</v>
      </c>
      <c r="S78" s="292">
        <v>0.5</v>
      </c>
      <c r="T78" s="292">
        <v>0.5</v>
      </c>
      <c r="U78" s="322"/>
      <c r="V78" s="292">
        <v>0.21000000000000002</v>
      </c>
      <c r="W78" s="323"/>
      <c r="X78" s="295">
        <v>0</v>
      </c>
      <c r="Y78" s="295">
        <v>0</v>
      </c>
      <c r="Z78" s="295">
        <v>0</v>
      </c>
      <c r="AA78" s="295">
        <v>0</v>
      </c>
      <c r="AB78" s="295">
        <v>0</v>
      </c>
      <c r="AC78" s="91"/>
      <c r="AD78" s="91"/>
      <c r="AE78" s="290"/>
      <c r="AF78" s="317"/>
    </row>
    <row r="79" spans="1:32">
      <c r="A79" s="91" t="str">
        <f t="shared" si="1"/>
        <v>INDGDMTELCN9</v>
      </c>
      <c r="B79" s="131" t="s">
        <v>824</v>
      </c>
      <c r="C79" s="91"/>
      <c r="D79" s="288"/>
      <c r="E79" s="288"/>
      <c r="F79" s="91"/>
      <c r="G79" s="91"/>
      <c r="H79" s="289"/>
      <c r="I79" s="289" t="s">
        <v>792</v>
      </c>
      <c r="J79" s="290">
        <v>2030</v>
      </c>
      <c r="K79" s="290"/>
      <c r="L79" s="292">
        <v>0.99</v>
      </c>
      <c r="M79" s="292"/>
      <c r="N79" s="290"/>
      <c r="O79" s="293">
        <v>0.44700000000000001</v>
      </c>
      <c r="P79" s="293">
        <v>7.5989999999999999E-3</v>
      </c>
      <c r="Q79" s="290">
        <v>1.8107638888888888</v>
      </c>
      <c r="R79" s="298"/>
      <c r="S79" s="298"/>
      <c r="T79" s="298"/>
      <c r="U79" s="298"/>
      <c r="V79" s="292">
        <v>0.21000000000000002</v>
      </c>
      <c r="W79" s="294"/>
      <c r="X79" s="295">
        <v>0</v>
      </c>
      <c r="Y79" s="295">
        <v>0</v>
      </c>
      <c r="Z79" s="295">
        <v>0</v>
      </c>
      <c r="AA79" s="295">
        <v>0</v>
      </c>
      <c r="AB79" s="295">
        <v>0</v>
      </c>
      <c r="AC79" s="91"/>
      <c r="AD79" s="91"/>
      <c r="AE79" s="290"/>
      <c r="AF79" s="317"/>
    </row>
    <row r="80" spans="1:32">
      <c r="A80" s="91" t="str">
        <f t="shared" si="1"/>
        <v>INDGDMTELCN9</v>
      </c>
      <c r="B80" s="131" t="s">
        <v>824</v>
      </c>
      <c r="C80" s="91"/>
      <c r="D80" s="288"/>
      <c r="E80" s="288"/>
      <c r="F80" s="91"/>
      <c r="G80" s="91"/>
      <c r="H80" s="289"/>
      <c r="I80" s="289" t="s">
        <v>792</v>
      </c>
      <c r="J80" s="290">
        <v>2050</v>
      </c>
      <c r="K80" s="290"/>
      <c r="L80" s="292">
        <v>0.99</v>
      </c>
      <c r="M80" s="292"/>
      <c r="N80" s="290"/>
      <c r="O80" s="293">
        <v>0.44700000000000001</v>
      </c>
      <c r="P80" s="293">
        <v>6.8539999999999998E-3</v>
      </c>
      <c r="Q80" s="290">
        <v>1.6141666666666665</v>
      </c>
      <c r="R80" s="298"/>
      <c r="S80" s="298"/>
      <c r="T80" s="298"/>
      <c r="U80" s="298"/>
      <c r="V80" s="292">
        <v>0.21000000000000002</v>
      </c>
      <c r="W80" s="294"/>
      <c r="X80" s="295">
        <v>0</v>
      </c>
      <c r="Y80" s="295">
        <v>0</v>
      </c>
      <c r="Z80" s="295">
        <v>0</v>
      </c>
      <c r="AA80" s="295">
        <v>0</v>
      </c>
      <c r="AB80" s="295">
        <v>0</v>
      </c>
      <c r="AC80" s="48"/>
      <c r="AD80" s="48"/>
      <c r="AE80" s="290"/>
      <c r="AF80" s="324"/>
    </row>
    <row r="81" spans="1:32">
      <c r="A81" s="91" t="str">
        <f t="shared" si="1"/>
        <v>INDGDRHELCN9</v>
      </c>
      <c r="B81" s="131" t="s">
        <v>824</v>
      </c>
      <c r="C81" s="91"/>
      <c r="D81" s="288" t="s">
        <v>833</v>
      </c>
      <c r="E81" s="288" t="s">
        <v>834</v>
      </c>
      <c r="F81" s="91" t="s">
        <v>791</v>
      </c>
      <c r="G81" s="289" t="s">
        <v>310</v>
      </c>
      <c r="H81" s="289" t="s">
        <v>795</v>
      </c>
      <c r="I81" s="289" t="s">
        <v>792</v>
      </c>
      <c r="J81" s="290">
        <v>2020</v>
      </c>
      <c r="K81" s="290">
        <v>2020</v>
      </c>
      <c r="L81" s="292">
        <v>0.99</v>
      </c>
      <c r="M81" s="292"/>
      <c r="N81" s="290">
        <v>25</v>
      </c>
      <c r="O81" s="293">
        <v>0.52150000000000007</v>
      </c>
      <c r="P81" s="293">
        <v>7.9714999999999994E-3</v>
      </c>
      <c r="Q81" s="290">
        <v>1.7900694444444445</v>
      </c>
      <c r="R81" s="290">
        <v>3.1536000000000002E-2</v>
      </c>
      <c r="S81" s="292">
        <v>0.5</v>
      </c>
      <c r="T81" s="292">
        <v>1</v>
      </c>
      <c r="U81" s="297"/>
      <c r="V81" s="292">
        <v>1.0000000000000009E-2</v>
      </c>
      <c r="W81" s="294"/>
      <c r="X81" s="295">
        <v>0</v>
      </c>
      <c r="Y81" s="295">
        <v>0</v>
      </c>
      <c r="Z81" s="295">
        <v>0</v>
      </c>
      <c r="AA81" s="295">
        <v>0</v>
      </c>
      <c r="AB81" s="295">
        <v>0</v>
      </c>
      <c r="AC81" s="91"/>
      <c r="AD81" s="91"/>
      <c r="AE81" s="311"/>
      <c r="AF81" s="287"/>
    </row>
    <row r="82" spans="1:32">
      <c r="A82" s="91" t="str">
        <f t="shared" si="1"/>
        <v>INDGDRHELCN9</v>
      </c>
      <c r="B82" s="131" t="s">
        <v>824</v>
      </c>
      <c r="C82" s="91"/>
      <c r="D82" s="288"/>
      <c r="E82" s="288"/>
      <c r="F82" s="91"/>
      <c r="G82" s="91"/>
      <c r="H82" s="289"/>
      <c r="I82" s="289" t="s">
        <v>792</v>
      </c>
      <c r="J82" s="290">
        <v>2030</v>
      </c>
      <c r="K82" s="290"/>
      <c r="L82" s="292">
        <v>0.99</v>
      </c>
      <c r="M82" s="292"/>
      <c r="N82" s="290"/>
      <c r="O82" s="293">
        <v>0.44700000000000001</v>
      </c>
      <c r="P82" s="293">
        <v>7.5989999999999999E-3</v>
      </c>
      <c r="Q82" s="290">
        <v>1.8107638888888888</v>
      </c>
      <c r="R82" s="298"/>
      <c r="S82" s="298"/>
      <c r="T82" s="298"/>
      <c r="U82" s="298"/>
      <c r="V82" s="292">
        <v>1.0000000000000009E-2</v>
      </c>
      <c r="W82" s="294"/>
      <c r="X82" s="295">
        <v>0</v>
      </c>
      <c r="Y82" s="295">
        <v>0</v>
      </c>
      <c r="Z82" s="295">
        <v>0</v>
      </c>
      <c r="AA82" s="295">
        <v>0</v>
      </c>
      <c r="AB82" s="295">
        <v>0</v>
      </c>
      <c r="AC82" s="91"/>
      <c r="AD82" s="91"/>
      <c r="AE82" s="290"/>
      <c r="AF82" s="287"/>
    </row>
    <row r="83" spans="1:32">
      <c r="A83" s="91" t="str">
        <f t="shared" si="1"/>
        <v>INDGDRHELCN9</v>
      </c>
      <c r="B83" s="136" t="s">
        <v>824</v>
      </c>
      <c r="C83" s="48"/>
      <c r="D83" s="325"/>
      <c r="E83" s="325"/>
      <c r="F83" s="48"/>
      <c r="G83" s="48"/>
      <c r="H83" s="326"/>
      <c r="I83" s="326" t="s">
        <v>792</v>
      </c>
      <c r="J83" s="290">
        <v>2050</v>
      </c>
      <c r="K83" s="290"/>
      <c r="L83" s="292">
        <v>0.99</v>
      </c>
      <c r="M83" s="292"/>
      <c r="N83" s="290"/>
      <c r="O83" s="293">
        <v>0.44700000000000001</v>
      </c>
      <c r="P83" s="293">
        <v>6.8539999999999998E-3</v>
      </c>
      <c r="Q83" s="290">
        <v>1.6141666666666665</v>
      </c>
      <c r="R83" s="327"/>
      <c r="S83" s="327"/>
      <c r="T83" s="327"/>
      <c r="U83" s="327"/>
      <c r="V83" s="292">
        <v>1.0000000000000009E-2</v>
      </c>
      <c r="W83" s="328"/>
      <c r="X83" s="295">
        <v>0</v>
      </c>
      <c r="Y83" s="295">
        <v>0</v>
      </c>
      <c r="Z83" s="295">
        <v>0</v>
      </c>
      <c r="AA83" s="295">
        <v>0</v>
      </c>
      <c r="AB83" s="295">
        <v>0</v>
      </c>
      <c r="AC83" s="91"/>
      <c r="AD83" s="91"/>
      <c r="AE83" s="290"/>
      <c r="AF83" s="287"/>
    </row>
    <row r="84" spans="1:32">
      <c r="A84" s="91" t="str">
        <f t="shared" si="1"/>
        <v>INDGDHTWCHN1</v>
      </c>
      <c r="B84" s="131" t="s">
        <v>835</v>
      </c>
      <c r="C84" s="91"/>
      <c r="D84" s="288" t="s">
        <v>836</v>
      </c>
      <c r="E84" s="288" t="s">
        <v>837</v>
      </c>
      <c r="F84" s="91" t="s">
        <v>791</v>
      </c>
      <c r="G84" s="289" t="s">
        <v>216</v>
      </c>
      <c r="H84" s="289" t="s">
        <v>609</v>
      </c>
      <c r="I84" s="289" t="s">
        <v>792</v>
      </c>
      <c r="J84" s="311">
        <v>2020</v>
      </c>
      <c r="K84" s="311">
        <v>2020</v>
      </c>
      <c r="L84" s="292">
        <v>0.89</v>
      </c>
      <c r="M84" s="312"/>
      <c r="N84" s="311">
        <v>25</v>
      </c>
      <c r="O84" s="313">
        <v>4.6054545454545455</v>
      </c>
      <c r="P84" s="313">
        <v>0.25106499999999998</v>
      </c>
      <c r="Q84" s="311">
        <v>5.7509861111111107</v>
      </c>
      <c r="R84" s="311">
        <v>3.1536000000000002E-2</v>
      </c>
      <c r="S84" s="312">
        <v>0.5</v>
      </c>
      <c r="T84" s="312">
        <v>1</v>
      </c>
      <c r="U84" s="297"/>
      <c r="V84" s="292">
        <v>0.41</v>
      </c>
      <c r="W84" s="294"/>
      <c r="X84" s="295">
        <v>11</v>
      </c>
      <c r="Y84" s="311">
        <v>63</v>
      </c>
      <c r="Z84" s="311">
        <v>11</v>
      </c>
      <c r="AA84" s="311">
        <v>3</v>
      </c>
      <c r="AB84" s="311">
        <v>10</v>
      </c>
      <c r="AC84" s="91"/>
      <c r="AD84" s="91"/>
      <c r="AE84" s="290"/>
      <c r="AF84" s="287"/>
    </row>
    <row r="85" spans="1:32">
      <c r="A85" s="91" t="str">
        <f t="shared" si="1"/>
        <v>INDGDHTWCHN1</v>
      </c>
      <c r="B85" s="131" t="s">
        <v>835</v>
      </c>
      <c r="C85" s="91"/>
      <c r="D85" s="288"/>
      <c r="E85" s="288"/>
      <c r="F85" s="91"/>
      <c r="G85" s="91"/>
      <c r="H85" s="289"/>
      <c r="I85" s="289" t="s">
        <v>792</v>
      </c>
      <c r="J85" s="290">
        <v>2030</v>
      </c>
      <c r="K85" s="290"/>
      <c r="L85" s="292">
        <v>0.89</v>
      </c>
      <c r="M85" s="292"/>
      <c r="N85" s="290"/>
      <c r="O85" s="293">
        <v>4.4022727272727264</v>
      </c>
      <c r="P85" s="293">
        <v>0.267455</v>
      </c>
      <c r="Q85" s="290">
        <v>5.8461805555555557</v>
      </c>
      <c r="R85" s="298"/>
      <c r="S85" s="298"/>
      <c r="T85" s="298"/>
      <c r="U85" s="298"/>
      <c r="V85" s="292">
        <v>0.41</v>
      </c>
      <c r="W85" s="294"/>
      <c r="X85" s="295">
        <v>11</v>
      </c>
      <c r="Y85" s="290">
        <v>49</v>
      </c>
      <c r="Z85" s="290">
        <v>8</v>
      </c>
      <c r="AA85" s="290">
        <v>3</v>
      </c>
      <c r="AB85" s="290">
        <v>10</v>
      </c>
      <c r="AC85" s="91"/>
      <c r="AD85" s="91"/>
      <c r="AE85" s="290"/>
      <c r="AF85" s="287"/>
    </row>
    <row r="86" spans="1:32">
      <c r="A86" s="91" t="str">
        <f t="shared" si="1"/>
        <v>INDGDHTWCHN1</v>
      </c>
      <c r="B86" s="131" t="s">
        <v>835</v>
      </c>
      <c r="C86" s="91"/>
      <c r="D86" s="288"/>
      <c r="E86" s="288"/>
      <c r="F86" s="91"/>
      <c r="G86" s="91"/>
      <c r="H86" s="289"/>
      <c r="I86" s="289" t="s">
        <v>792</v>
      </c>
      <c r="J86" s="290">
        <v>2050</v>
      </c>
      <c r="K86" s="290"/>
      <c r="L86" s="292">
        <v>0.9</v>
      </c>
      <c r="M86" s="292"/>
      <c r="N86" s="290"/>
      <c r="O86" s="293">
        <v>3.9959090909090902</v>
      </c>
      <c r="P86" s="293">
        <v>0.25106499999999998</v>
      </c>
      <c r="Q86" s="290">
        <v>5.8937777777777782</v>
      </c>
      <c r="R86" s="298"/>
      <c r="S86" s="298"/>
      <c r="T86" s="298"/>
      <c r="U86" s="298"/>
      <c r="V86" s="292">
        <v>0.39999999999999997</v>
      </c>
      <c r="W86" s="294"/>
      <c r="X86" s="295">
        <v>11</v>
      </c>
      <c r="Y86" s="290">
        <v>41</v>
      </c>
      <c r="Z86" s="290">
        <v>4</v>
      </c>
      <c r="AA86" s="290">
        <v>1</v>
      </c>
      <c r="AB86" s="290">
        <v>10</v>
      </c>
      <c r="AC86" s="91"/>
      <c r="AD86" s="91"/>
      <c r="AE86" s="290"/>
      <c r="AF86" s="287"/>
    </row>
    <row r="87" spans="1:32">
      <c r="A87" s="91" t="str">
        <f t="shared" si="1"/>
        <v>INDGDMTWCHN1</v>
      </c>
      <c r="B87" s="131" t="s">
        <v>835</v>
      </c>
      <c r="C87" s="91"/>
      <c r="D87" s="288" t="s">
        <v>838</v>
      </c>
      <c r="E87" s="288" t="s">
        <v>839</v>
      </c>
      <c r="F87" s="91" t="s">
        <v>791</v>
      </c>
      <c r="G87" s="289" t="s">
        <v>216</v>
      </c>
      <c r="H87" s="289" t="s">
        <v>610</v>
      </c>
      <c r="I87" s="289" t="s">
        <v>792</v>
      </c>
      <c r="J87" s="290">
        <v>2020</v>
      </c>
      <c r="K87" s="290">
        <v>2020</v>
      </c>
      <c r="L87" s="292">
        <v>0.89</v>
      </c>
      <c r="M87" s="292"/>
      <c r="N87" s="290">
        <v>25</v>
      </c>
      <c r="O87" s="293">
        <v>4.6054545454545455</v>
      </c>
      <c r="P87" s="293">
        <v>0.25106499999999998</v>
      </c>
      <c r="Q87" s="290">
        <v>5.7509861111111107</v>
      </c>
      <c r="R87" s="290">
        <v>3.1536000000000002E-2</v>
      </c>
      <c r="S87" s="292">
        <v>0.5</v>
      </c>
      <c r="T87" s="292">
        <v>0.97</v>
      </c>
      <c r="U87" s="297"/>
      <c r="V87" s="292">
        <v>0.31</v>
      </c>
      <c r="W87" s="294"/>
      <c r="X87" s="295">
        <v>11</v>
      </c>
      <c r="Y87" s="290">
        <v>63</v>
      </c>
      <c r="Z87" s="290">
        <v>11</v>
      </c>
      <c r="AA87" s="290">
        <v>3</v>
      </c>
      <c r="AB87" s="290">
        <v>10</v>
      </c>
      <c r="AC87" s="91"/>
      <c r="AD87" s="91"/>
      <c r="AE87" s="290"/>
      <c r="AF87" s="287"/>
    </row>
    <row r="88" spans="1:32">
      <c r="A88" s="91" t="str">
        <f t="shared" si="1"/>
        <v>INDGDMTWCHN1</v>
      </c>
      <c r="B88" s="131" t="s">
        <v>835</v>
      </c>
      <c r="C88" s="91"/>
      <c r="D88" s="288"/>
      <c r="E88" s="288"/>
      <c r="F88" s="91"/>
      <c r="G88" s="91"/>
      <c r="H88" s="289"/>
      <c r="I88" s="289" t="s">
        <v>792</v>
      </c>
      <c r="J88" s="290">
        <v>2030</v>
      </c>
      <c r="K88" s="290"/>
      <c r="L88" s="292">
        <v>0.89</v>
      </c>
      <c r="M88" s="292"/>
      <c r="N88" s="290"/>
      <c r="O88" s="293">
        <v>4.4022727272727264</v>
      </c>
      <c r="P88" s="293">
        <v>0.267455</v>
      </c>
      <c r="Q88" s="290">
        <v>5.8461805555555557</v>
      </c>
      <c r="R88" s="298"/>
      <c r="S88" s="298"/>
      <c r="T88" s="298"/>
      <c r="U88" s="298"/>
      <c r="V88" s="292">
        <v>0.31</v>
      </c>
      <c r="W88" s="294"/>
      <c r="X88" s="295">
        <v>11</v>
      </c>
      <c r="Y88" s="290">
        <v>49</v>
      </c>
      <c r="Z88" s="290">
        <v>8</v>
      </c>
      <c r="AA88" s="290">
        <v>3</v>
      </c>
      <c r="AB88" s="290">
        <v>10</v>
      </c>
      <c r="AC88" s="91"/>
      <c r="AD88" s="91"/>
      <c r="AE88" s="290"/>
      <c r="AF88" s="287"/>
    </row>
    <row r="89" spans="1:32">
      <c r="A89" s="91" t="str">
        <f t="shared" si="1"/>
        <v>INDGDMTWCHN1</v>
      </c>
      <c r="B89" s="131" t="s">
        <v>835</v>
      </c>
      <c r="C89" s="91"/>
      <c r="D89" s="288"/>
      <c r="E89" s="288"/>
      <c r="F89" s="91"/>
      <c r="G89" s="91"/>
      <c r="H89" s="289"/>
      <c r="I89" s="289" t="s">
        <v>792</v>
      </c>
      <c r="J89" s="290">
        <v>2050</v>
      </c>
      <c r="K89" s="290"/>
      <c r="L89" s="292">
        <v>0.9</v>
      </c>
      <c r="M89" s="292"/>
      <c r="N89" s="290"/>
      <c r="O89" s="293">
        <v>3.9959090909090902</v>
      </c>
      <c r="P89" s="293">
        <v>0.25106499999999998</v>
      </c>
      <c r="Q89" s="290">
        <v>5.8937777777777782</v>
      </c>
      <c r="R89" s="298"/>
      <c r="S89" s="298"/>
      <c r="T89" s="298"/>
      <c r="U89" s="298"/>
      <c r="V89" s="292">
        <v>0.3</v>
      </c>
      <c r="W89" s="294"/>
      <c r="X89" s="295">
        <v>11</v>
      </c>
      <c r="Y89" s="290">
        <v>41</v>
      </c>
      <c r="Z89" s="290">
        <v>4</v>
      </c>
      <c r="AA89" s="290">
        <v>1</v>
      </c>
      <c r="AB89" s="290">
        <v>10</v>
      </c>
      <c r="AC89" s="91"/>
      <c r="AD89" s="91"/>
      <c r="AE89" s="315"/>
      <c r="AF89" s="287"/>
    </row>
    <row r="90" spans="1:32">
      <c r="A90" s="91" t="str">
        <f t="shared" si="1"/>
        <v>INDGDRHWCHN1</v>
      </c>
      <c r="B90" s="131" t="s">
        <v>835</v>
      </c>
      <c r="C90" s="91"/>
      <c r="D90" s="288" t="s">
        <v>840</v>
      </c>
      <c r="E90" s="288" t="s">
        <v>841</v>
      </c>
      <c r="F90" s="91" t="s">
        <v>791</v>
      </c>
      <c r="G90" s="289" t="s">
        <v>216</v>
      </c>
      <c r="H90" s="289" t="s">
        <v>795</v>
      </c>
      <c r="I90" s="289" t="s">
        <v>792</v>
      </c>
      <c r="J90" s="290">
        <v>2020</v>
      </c>
      <c r="K90" s="290">
        <v>2020</v>
      </c>
      <c r="L90" s="292">
        <v>0.89</v>
      </c>
      <c r="M90" s="292"/>
      <c r="N90" s="290">
        <v>25</v>
      </c>
      <c r="O90" s="293">
        <v>4.6054545454545455</v>
      </c>
      <c r="P90" s="293">
        <v>0.25106499999999998</v>
      </c>
      <c r="Q90" s="290">
        <v>5.7509861111111107</v>
      </c>
      <c r="R90" s="290">
        <v>3.1536000000000002E-2</v>
      </c>
      <c r="S90" s="292">
        <v>0.5</v>
      </c>
      <c r="T90" s="292">
        <v>1</v>
      </c>
      <c r="U90" s="297"/>
      <c r="V90" s="292">
        <v>0.10999999999999999</v>
      </c>
      <c r="W90" s="294"/>
      <c r="X90" s="295">
        <v>11</v>
      </c>
      <c r="Y90" s="290">
        <v>63</v>
      </c>
      <c r="Z90" s="290">
        <v>11</v>
      </c>
      <c r="AA90" s="290">
        <v>3</v>
      </c>
      <c r="AB90" s="290">
        <v>10</v>
      </c>
      <c r="AC90" s="89"/>
      <c r="AD90" s="89"/>
      <c r="AE90" s="290"/>
      <c r="AF90" s="316"/>
    </row>
    <row r="91" spans="1:32">
      <c r="A91" s="91" t="str">
        <f t="shared" si="1"/>
        <v>INDGDRHWCHN1</v>
      </c>
      <c r="B91" s="131" t="s">
        <v>835</v>
      </c>
      <c r="C91" s="91"/>
      <c r="D91" s="288"/>
      <c r="E91" s="288"/>
      <c r="F91" s="91"/>
      <c r="G91" s="91"/>
      <c r="H91" s="289"/>
      <c r="I91" s="289" t="s">
        <v>792</v>
      </c>
      <c r="J91" s="290">
        <v>2030</v>
      </c>
      <c r="K91" s="290"/>
      <c r="L91" s="292">
        <v>0.89</v>
      </c>
      <c r="M91" s="292"/>
      <c r="N91" s="290"/>
      <c r="O91" s="293">
        <v>4.4022727272727264</v>
      </c>
      <c r="P91" s="293">
        <v>0.267455</v>
      </c>
      <c r="Q91" s="290">
        <v>5.8461805555555557</v>
      </c>
      <c r="R91" s="298"/>
      <c r="S91" s="298"/>
      <c r="T91" s="298"/>
      <c r="U91" s="298"/>
      <c r="V91" s="292">
        <v>0.10999999999999999</v>
      </c>
      <c r="W91" s="294"/>
      <c r="X91" s="295">
        <v>11</v>
      </c>
      <c r="Y91" s="290">
        <v>49</v>
      </c>
      <c r="Z91" s="290">
        <v>8</v>
      </c>
      <c r="AA91" s="290">
        <v>3</v>
      </c>
      <c r="AB91" s="290">
        <v>10</v>
      </c>
      <c r="AC91" s="91"/>
      <c r="AD91" s="91"/>
      <c r="AE91" s="290"/>
      <c r="AF91" s="317"/>
    </row>
    <row r="92" spans="1:32">
      <c r="A92" s="91" t="str">
        <f t="shared" si="1"/>
        <v>INDGDRHWCHN1</v>
      </c>
      <c r="B92" s="131" t="s">
        <v>835</v>
      </c>
      <c r="C92" s="91"/>
      <c r="D92" s="288"/>
      <c r="E92" s="288"/>
      <c r="F92" s="91"/>
      <c r="G92" s="91"/>
      <c r="H92" s="289"/>
      <c r="I92" s="289" t="s">
        <v>792</v>
      </c>
      <c r="J92" s="315">
        <v>2050</v>
      </c>
      <c r="K92" s="315"/>
      <c r="L92" s="292">
        <v>0.9</v>
      </c>
      <c r="M92" s="318"/>
      <c r="N92" s="315"/>
      <c r="O92" s="319">
        <v>3.9959090909090902</v>
      </c>
      <c r="P92" s="319">
        <v>0.25106499999999998</v>
      </c>
      <c r="Q92" s="315">
        <v>5.8937777777777782</v>
      </c>
      <c r="R92" s="298"/>
      <c r="S92" s="298"/>
      <c r="T92" s="298"/>
      <c r="U92" s="298"/>
      <c r="V92" s="292">
        <v>9.9999999999999978E-2</v>
      </c>
      <c r="W92" s="294"/>
      <c r="X92" s="295">
        <v>11</v>
      </c>
      <c r="Y92" s="315">
        <v>41</v>
      </c>
      <c r="Z92" s="315">
        <v>4</v>
      </c>
      <c r="AA92" s="315">
        <v>1</v>
      </c>
      <c r="AB92" s="315">
        <v>10</v>
      </c>
      <c r="AC92" s="91"/>
      <c r="AD92" s="91"/>
      <c r="AE92" s="290"/>
      <c r="AF92" s="317"/>
    </row>
    <row r="93" spans="1:32">
      <c r="A93" s="91" t="str">
        <f t="shared" si="1"/>
        <v>INDGDMTWCHN2</v>
      </c>
      <c r="B93" s="129" t="s">
        <v>835</v>
      </c>
      <c r="C93" s="89"/>
      <c r="D93" s="320" t="s">
        <v>842</v>
      </c>
      <c r="E93" s="320" t="s">
        <v>843</v>
      </c>
      <c r="F93" s="89" t="s">
        <v>791</v>
      </c>
      <c r="G93" s="321" t="s">
        <v>216</v>
      </c>
      <c r="H93" s="321" t="s">
        <v>610</v>
      </c>
      <c r="I93" s="321" t="s">
        <v>792</v>
      </c>
      <c r="J93" s="290">
        <v>2020</v>
      </c>
      <c r="K93" s="290">
        <v>2020</v>
      </c>
      <c r="L93" s="292">
        <v>1.1618960947726835</v>
      </c>
      <c r="M93" s="292"/>
      <c r="N93" s="290">
        <v>25</v>
      </c>
      <c r="O93" s="293">
        <v>5.0660000000000007</v>
      </c>
      <c r="P93" s="293">
        <v>0.27564999999999995</v>
      </c>
      <c r="Q93" s="290">
        <v>5.7509861111111107</v>
      </c>
      <c r="R93" s="290">
        <v>3.1536000000000002E-2</v>
      </c>
      <c r="S93" s="292">
        <v>0.5</v>
      </c>
      <c r="T93" s="292">
        <v>0</v>
      </c>
      <c r="U93" s="322"/>
      <c r="V93" s="292">
        <v>3.8103905227316492E-2</v>
      </c>
      <c r="W93" s="323"/>
      <c r="X93" s="295">
        <v>11</v>
      </c>
      <c r="Y93" s="295">
        <v>63</v>
      </c>
      <c r="Z93" s="295">
        <v>11</v>
      </c>
      <c r="AA93" s="295">
        <v>3</v>
      </c>
      <c r="AB93" s="295">
        <v>10</v>
      </c>
      <c r="AC93" s="91"/>
      <c r="AD93" s="91"/>
      <c r="AE93" s="290"/>
      <c r="AF93" s="317"/>
    </row>
    <row r="94" spans="1:32">
      <c r="A94" s="91" t="str">
        <f t="shared" si="1"/>
        <v>INDGDMTWCHN2</v>
      </c>
      <c r="B94" s="131" t="s">
        <v>835</v>
      </c>
      <c r="C94" s="91"/>
      <c r="D94" s="288"/>
      <c r="E94" s="288"/>
      <c r="F94" s="91"/>
      <c r="G94" s="91"/>
      <c r="H94" s="289"/>
      <c r="I94" s="289" t="s">
        <v>792</v>
      </c>
      <c r="J94" s="290">
        <v>2030</v>
      </c>
      <c r="K94" s="290"/>
      <c r="L94" s="292">
        <v>1.1618960947726835</v>
      </c>
      <c r="M94" s="292"/>
      <c r="N94" s="290"/>
      <c r="O94" s="293">
        <v>4.8425000000000002</v>
      </c>
      <c r="P94" s="293">
        <v>0.267455</v>
      </c>
      <c r="Q94" s="290">
        <v>5.8461805555555557</v>
      </c>
      <c r="R94" s="298"/>
      <c r="S94" s="298"/>
      <c r="T94" s="298"/>
      <c r="U94" s="298"/>
      <c r="V94" s="292">
        <v>3.8103905227316492E-2</v>
      </c>
      <c r="W94" s="294"/>
      <c r="X94" s="295">
        <v>11</v>
      </c>
      <c r="Y94" s="295">
        <v>49</v>
      </c>
      <c r="Z94" s="295">
        <v>8</v>
      </c>
      <c r="AA94" s="295">
        <v>3</v>
      </c>
      <c r="AB94" s="295">
        <v>10</v>
      </c>
      <c r="AC94" s="91"/>
      <c r="AD94" s="91"/>
      <c r="AE94" s="290"/>
      <c r="AF94" s="317"/>
    </row>
    <row r="95" spans="1:32">
      <c r="A95" s="91" t="str">
        <f t="shared" si="1"/>
        <v>INDGDMTWCHN2</v>
      </c>
      <c r="B95" s="131" t="s">
        <v>835</v>
      </c>
      <c r="C95" s="91"/>
      <c r="D95" s="288"/>
      <c r="E95" s="288"/>
      <c r="F95" s="91"/>
      <c r="G95" s="91"/>
      <c r="H95" s="289"/>
      <c r="I95" s="289" t="s">
        <v>792</v>
      </c>
      <c r="J95" s="290">
        <v>2050</v>
      </c>
      <c r="K95" s="290"/>
      <c r="L95" s="292">
        <v>1.1618960947726835</v>
      </c>
      <c r="M95" s="292"/>
      <c r="N95" s="290"/>
      <c r="O95" s="293">
        <v>4.3955000000000002</v>
      </c>
      <c r="P95" s="293">
        <v>0.25106499999999998</v>
      </c>
      <c r="Q95" s="290">
        <v>5.8937777777777782</v>
      </c>
      <c r="R95" s="298"/>
      <c r="S95" s="298"/>
      <c r="T95" s="298"/>
      <c r="U95" s="298"/>
      <c r="V95" s="292">
        <v>3.8103905227316492E-2</v>
      </c>
      <c r="W95" s="294"/>
      <c r="X95" s="295">
        <v>11</v>
      </c>
      <c r="Y95" s="295">
        <v>41</v>
      </c>
      <c r="Z95" s="295">
        <v>4</v>
      </c>
      <c r="AA95" s="295">
        <v>1</v>
      </c>
      <c r="AB95" s="295">
        <v>10</v>
      </c>
      <c r="AC95" s="48"/>
      <c r="AD95" s="48"/>
      <c r="AE95" s="290"/>
      <c r="AF95" s="324"/>
    </row>
    <row r="96" spans="1:32">
      <c r="A96" s="91" t="str">
        <f t="shared" si="1"/>
        <v>INDGDRHWCHN2</v>
      </c>
      <c r="B96" s="131" t="s">
        <v>835</v>
      </c>
      <c r="C96" s="91"/>
      <c r="D96" s="288" t="s">
        <v>844</v>
      </c>
      <c r="E96" s="288" t="s">
        <v>845</v>
      </c>
      <c r="F96" s="91" t="s">
        <v>791</v>
      </c>
      <c r="G96" s="289" t="s">
        <v>216</v>
      </c>
      <c r="H96" s="289" t="s">
        <v>795</v>
      </c>
      <c r="I96" s="289" t="s">
        <v>792</v>
      </c>
      <c r="J96" s="290">
        <v>2020</v>
      </c>
      <c r="K96" s="290">
        <v>2020</v>
      </c>
      <c r="L96" s="292">
        <v>1.1618960947726835</v>
      </c>
      <c r="M96" s="292"/>
      <c r="N96" s="290">
        <v>25</v>
      </c>
      <c r="O96" s="293">
        <v>5.0660000000000007</v>
      </c>
      <c r="P96" s="293">
        <v>0.27564999999999995</v>
      </c>
      <c r="Q96" s="290">
        <v>5.7509861111111107</v>
      </c>
      <c r="R96" s="290">
        <v>3.1536000000000002E-2</v>
      </c>
      <c r="S96" s="292">
        <v>0.5</v>
      </c>
      <c r="T96" s="292">
        <v>0</v>
      </c>
      <c r="U96" s="297"/>
      <c r="V96" s="292">
        <v>-0.16189609477268352</v>
      </c>
      <c r="W96" s="294"/>
      <c r="X96" s="295">
        <v>11</v>
      </c>
      <c r="Y96" s="295">
        <v>63</v>
      </c>
      <c r="Z96" s="295">
        <v>11</v>
      </c>
      <c r="AA96" s="295">
        <v>3</v>
      </c>
      <c r="AB96" s="295">
        <v>10</v>
      </c>
      <c r="AC96" s="89"/>
      <c r="AD96" s="89"/>
      <c r="AE96" s="290"/>
      <c r="AF96" s="316"/>
    </row>
    <row r="97" spans="1:32">
      <c r="A97" s="91" t="str">
        <f t="shared" si="1"/>
        <v>INDGDRHWCHN2</v>
      </c>
      <c r="B97" s="131" t="s">
        <v>835</v>
      </c>
      <c r="C97" s="91"/>
      <c r="D97" s="288"/>
      <c r="E97" s="288"/>
      <c r="F97" s="91"/>
      <c r="G97" s="91"/>
      <c r="H97" s="289"/>
      <c r="I97" s="289" t="s">
        <v>792</v>
      </c>
      <c r="J97" s="290">
        <v>2030</v>
      </c>
      <c r="K97" s="290"/>
      <c r="L97" s="292">
        <v>1.1618960947726835</v>
      </c>
      <c r="M97" s="292"/>
      <c r="N97" s="290"/>
      <c r="O97" s="293">
        <v>4.8425000000000002</v>
      </c>
      <c r="P97" s="293">
        <v>0.267455</v>
      </c>
      <c r="Q97" s="290">
        <v>5.8461805555555557</v>
      </c>
      <c r="R97" s="298"/>
      <c r="S97" s="298"/>
      <c r="T97" s="298"/>
      <c r="U97" s="298"/>
      <c r="V97" s="292">
        <v>-0.16189609477268352</v>
      </c>
      <c r="W97" s="294"/>
      <c r="X97" s="295">
        <v>11</v>
      </c>
      <c r="Y97" s="295">
        <v>49</v>
      </c>
      <c r="Z97" s="295">
        <v>8</v>
      </c>
      <c r="AA97" s="295">
        <v>3</v>
      </c>
      <c r="AB97" s="295">
        <v>10</v>
      </c>
      <c r="AC97" s="91"/>
      <c r="AD97" s="91"/>
      <c r="AE97" s="290"/>
      <c r="AF97" s="317"/>
    </row>
    <row r="98" spans="1:32">
      <c r="A98" s="91" t="str">
        <f t="shared" si="1"/>
        <v>INDGDRHWCHN2</v>
      </c>
      <c r="B98" s="136" t="s">
        <v>835</v>
      </c>
      <c r="C98" s="48"/>
      <c r="D98" s="325"/>
      <c r="E98" s="325"/>
      <c r="F98" s="48"/>
      <c r="G98" s="48"/>
      <c r="H98" s="326"/>
      <c r="I98" s="326" t="s">
        <v>792</v>
      </c>
      <c r="J98" s="290">
        <v>2050</v>
      </c>
      <c r="K98" s="290"/>
      <c r="L98" s="292">
        <v>1.1618960947726835</v>
      </c>
      <c r="M98" s="292"/>
      <c r="N98" s="290"/>
      <c r="O98" s="293">
        <v>4.3955000000000002</v>
      </c>
      <c r="P98" s="293">
        <v>0.25106499999999998</v>
      </c>
      <c r="Q98" s="290">
        <v>5.8937777777777782</v>
      </c>
      <c r="R98" s="327"/>
      <c r="S98" s="327"/>
      <c r="T98" s="327"/>
      <c r="U98" s="327"/>
      <c r="V98" s="292">
        <v>-0.16189609477268352</v>
      </c>
      <c r="W98" s="328"/>
      <c r="X98" s="295">
        <v>11</v>
      </c>
      <c r="Y98" s="295">
        <v>41</v>
      </c>
      <c r="Z98" s="295">
        <v>4</v>
      </c>
      <c r="AA98" s="295">
        <v>1</v>
      </c>
      <c r="AB98" s="295">
        <v>10</v>
      </c>
      <c r="AC98" s="91"/>
      <c r="AD98" s="91"/>
      <c r="AE98" s="290"/>
      <c r="AF98" s="317"/>
    </row>
    <row r="99" spans="1:32">
      <c r="A99" s="91" t="str">
        <f t="shared" si="1"/>
        <v>INDGDMTWCHN3</v>
      </c>
      <c r="B99" s="129" t="s">
        <v>835</v>
      </c>
      <c r="C99" s="89"/>
      <c r="D99" s="320" t="s">
        <v>846</v>
      </c>
      <c r="E99" s="320" t="s">
        <v>847</v>
      </c>
      <c r="F99" s="89" t="s">
        <v>791</v>
      </c>
      <c r="G99" s="321" t="s">
        <v>216</v>
      </c>
      <c r="H99" s="321" t="s">
        <v>610</v>
      </c>
      <c r="I99" s="321" t="s">
        <v>792</v>
      </c>
      <c r="J99" s="290">
        <v>2020</v>
      </c>
      <c r="K99" s="290">
        <v>2020</v>
      </c>
      <c r="L99" s="292">
        <v>0.9</v>
      </c>
      <c r="M99" s="292"/>
      <c r="N99" s="290">
        <v>25</v>
      </c>
      <c r="O99" s="293">
        <v>4.6054545454545437</v>
      </c>
      <c r="P99" s="293">
        <v>0.25106499999999998</v>
      </c>
      <c r="Q99" s="290">
        <v>5.7509861111111107</v>
      </c>
      <c r="R99" s="290">
        <v>3.1536000000000002E-2</v>
      </c>
      <c r="S99" s="292">
        <v>0.5</v>
      </c>
      <c r="T99" s="292">
        <v>0.5</v>
      </c>
      <c r="U99" s="322"/>
      <c r="V99" s="292">
        <v>0.3</v>
      </c>
      <c r="W99" s="323"/>
      <c r="X99" s="295">
        <v>11</v>
      </c>
      <c r="Y99" s="295">
        <v>63</v>
      </c>
      <c r="Z99" s="295">
        <v>11</v>
      </c>
      <c r="AA99" s="295">
        <v>3</v>
      </c>
      <c r="AB99" s="295">
        <v>10</v>
      </c>
      <c r="AC99" s="91"/>
      <c r="AD99" s="91"/>
      <c r="AE99" s="290"/>
      <c r="AF99" s="317"/>
    </row>
    <row r="100" spans="1:32">
      <c r="A100" s="91" t="str">
        <f t="shared" si="1"/>
        <v>INDGDMTWCHN3</v>
      </c>
      <c r="B100" s="131" t="s">
        <v>835</v>
      </c>
      <c r="C100" s="91"/>
      <c r="D100" s="288"/>
      <c r="E100" s="288"/>
      <c r="F100" s="91"/>
      <c r="G100" s="91"/>
      <c r="H100" s="289"/>
      <c r="I100" s="289" t="s">
        <v>792</v>
      </c>
      <c r="J100" s="290">
        <v>2030</v>
      </c>
      <c r="K100" s="290"/>
      <c r="L100" s="292">
        <v>0.9</v>
      </c>
      <c r="M100" s="292"/>
      <c r="N100" s="290"/>
      <c r="O100" s="293">
        <v>4.4022727272727282</v>
      </c>
      <c r="P100" s="293">
        <v>0.267455</v>
      </c>
      <c r="Q100" s="290">
        <v>5.8461805555555557</v>
      </c>
      <c r="R100" s="298"/>
      <c r="S100" s="298"/>
      <c r="T100" s="298"/>
      <c r="U100" s="298"/>
      <c r="V100" s="292">
        <v>0.3</v>
      </c>
      <c r="W100" s="294"/>
      <c r="X100" s="295">
        <v>11</v>
      </c>
      <c r="Y100" s="295">
        <v>49</v>
      </c>
      <c r="Z100" s="295">
        <v>8</v>
      </c>
      <c r="AA100" s="295">
        <v>3</v>
      </c>
      <c r="AB100" s="295">
        <v>10</v>
      </c>
      <c r="AC100" s="91"/>
      <c r="AD100" s="91"/>
      <c r="AE100" s="290"/>
      <c r="AF100" s="317"/>
    </row>
    <row r="101" spans="1:32">
      <c r="A101" s="91" t="str">
        <f t="shared" si="1"/>
        <v>INDGDMTWCHN3</v>
      </c>
      <c r="B101" s="131" t="s">
        <v>835</v>
      </c>
      <c r="C101" s="91"/>
      <c r="D101" s="288"/>
      <c r="E101" s="288"/>
      <c r="F101" s="91"/>
      <c r="G101" s="91"/>
      <c r="H101" s="289"/>
      <c r="I101" s="289" t="s">
        <v>792</v>
      </c>
      <c r="J101" s="290">
        <v>2050</v>
      </c>
      <c r="K101" s="290"/>
      <c r="L101" s="292">
        <v>0.91</v>
      </c>
      <c r="M101" s="292"/>
      <c r="N101" s="290"/>
      <c r="O101" s="293">
        <v>3.9959090909090884</v>
      </c>
      <c r="P101" s="293">
        <v>0.25106499999999998</v>
      </c>
      <c r="Q101" s="290">
        <v>5.8937777777777782</v>
      </c>
      <c r="R101" s="298"/>
      <c r="S101" s="298"/>
      <c r="T101" s="298"/>
      <c r="U101" s="298"/>
      <c r="V101" s="292">
        <v>0.28999999999999998</v>
      </c>
      <c r="W101" s="294"/>
      <c r="X101" s="295">
        <v>11</v>
      </c>
      <c r="Y101" s="295">
        <v>41</v>
      </c>
      <c r="Z101" s="295">
        <v>4</v>
      </c>
      <c r="AA101" s="295">
        <v>1</v>
      </c>
      <c r="AB101" s="295">
        <v>10</v>
      </c>
      <c r="AC101" s="48"/>
      <c r="AD101" s="48"/>
      <c r="AE101" s="290"/>
      <c r="AF101" s="324"/>
    </row>
    <row r="102" spans="1:32">
      <c r="A102" s="91" t="str">
        <f t="shared" si="1"/>
        <v>INDGDRHWCHN3</v>
      </c>
      <c r="B102" s="131" t="s">
        <v>835</v>
      </c>
      <c r="C102" s="91"/>
      <c r="D102" s="288" t="s">
        <v>848</v>
      </c>
      <c r="E102" s="288" t="s">
        <v>849</v>
      </c>
      <c r="F102" s="91" t="s">
        <v>791</v>
      </c>
      <c r="G102" s="289" t="s">
        <v>216</v>
      </c>
      <c r="H102" s="289" t="s">
        <v>795</v>
      </c>
      <c r="I102" s="289" t="s">
        <v>792</v>
      </c>
      <c r="J102" s="290">
        <v>2020</v>
      </c>
      <c r="K102" s="290">
        <v>2020</v>
      </c>
      <c r="L102" s="292">
        <v>0.9</v>
      </c>
      <c r="M102" s="292"/>
      <c r="N102" s="290">
        <v>25</v>
      </c>
      <c r="O102" s="293">
        <v>4.6054545454545437</v>
      </c>
      <c r="P102" s="293">
        <v>0.25106499999999998</v>
      </c>
      <c r="Q102" s="290">
        <v>5.7509861111111107</v>
      </c>
      <c r="R102" s="290">
        <v>3.1536000000000002E-2</v>
      </c>
      <c r="S102" s="292">
        <v>0.5</v>
      </c>
      <c r="T102" s="292">
        <v>1</v>
      </c>
      <c r="U102" s="322"/>
      <c r="V102" s="292">
        <v>9.9999999999999978E-2</v>
      </c>
      <c r="W102" s="323"/>
      <c r="X102" s="295">
        <v>11</v>
      </c>
      <c r="Y102" s="295">
        <v>63</v>
      </c>
      <c r="Z102" s="295">
        <v>11</v>
      </c>
      <c r="AA102" s="295">
        <v>3</v>
      </c>
      <c r="AB102" s="295">
        <v>10</v>
      </c>
      <c r="AC102" s="89"/>
      <c r="AD102" s="89"/>
      <c r="AE102" s="290"/>
      <c r="AF102" s="316"/>
    </row>
    <row r="103" spans="1:32">
      <c r="A103" s="91" t="str">
        <f t="shared" si="1"/>
        <v>INDGDRHWCHN3</v>
      </c>
      <c r="B103" s="131" t="s">
        <v>835</v>
      </c>
      <c r="C103" s="91"/>
      <c r="D103" s="288"/>
      <c r="E103" s="288"/>
      <c r="F103" s="91"/>
      <c r="G103" s="91"/>
      <c r="H103" s="289"/>
      <c r="I103" s="289" t="s">
        <v>792</v>
      </c>
      <c r="J103" s="290">
        <v>2030</v>
      </c>
      <c r="K103" s="290"/>
      <c r="L103" s="292">
        <v>0.9</v>
      </c>
      <c r="M103" s="292"/>
      <c r="N103" s="290"/>
      <c r="O103" s="293">
        <v>4.4022727272727282</v>
      </c>
      <c r="P103" s="293">
        <v>0.267455</v>
      </c>
      <c r="Q103" s="290">
        <v>5.8461805555555557</v>
      </c>
      <c r="R103" s="298"/>
      <c r="S103" s="298"/>
      <c r="T103" s="298"/>
      <c r="U103" s="298"/>
      <c r="V103" s="292">
        <v>9.9999999999999978E-2</v>
      </c>
      <c r="W103" s="294"/>
      <c r="X103" s="295">
        <v>11</v>
      </c>
      <c r="Y103" s="295">
        <v>49</v>
      </c>
      <c r="Z103" s="295">
        <v>8</v>
      </c>
      <c r="AA103" s="295">
        <v>3</v>
      </c>
      <c r="AB103" s="295">
        <v>10</v>
      </c>
      <c r="AC103" s="91"/>
      <c r="AD103" s="91"/>
      <c r="AE103" s="290"/>
      <c r="AF103" s="317"/>
    </row>
    <row r="104" spans="1:32">
      <c r="A104" s="91" t="str">
        <f t="shared" si="1"/>
        <v>INDGDRHWCHN3</v>
      </c>
      <c r="B104" s="136" t="s">
        <v>835</v>
      </c>
      <c r="C104" s="48"/>
      <c r="D104" s="325"/>
      <c r="E104" s="325"/>
      <c r="F104" s="48"/>
      <c r="G104" s="48"/>
      <c r="H104" s="326"/>
      <c r="I104" s="326" t="s">
        <v>792</v>
      </c>
      <c r="J104" s="290">
        <v>2050</v>
      </c>
      <c r="K104" s="290"/>
      <c r="L104" s="292">
        <v>0.91</v>
      </c>
      <c r="M104" s="292"/>
      <c r="N104" s="290"/>
      <c r="O104" s="293">
        <v>3.9959090909090884</v>
      </c>
      <c r="P104" s="293">
        <v>0.25106499999999998</v>
      </c>
      <c r="Q104" s="290">
        <v>5.8937777777777782</v>
      </c>
      <c r="R104" s="298"/>
      <c r="S104" s="298"/>
      <c r="T104" s="298"/>
      <c r="U104" s="298"/>
      <c r="V104" s="292">
        <v>8.9999999999999969E-2</v>
      </c>
      <c r="W104" s="294"/>
      <c r="X104" s="295">
        <v>11</v>
      </c>
      <c r="Y104" s="295">
        <v>41</v>
      </c>
      <c r="Z104" s="295">
        <v>4</v>
      </c>
      <c r="AA104" s="295">
        <v>1</v>
      </c>
      <c r="AB104" s="295">
        <v>10</v>
      </c>
      <c r="AC104" s="91"/>
      <c r="AD104" s="91"/>
      <c r="AE104" s="290"/>
      <c r="AF104" s="317"/>
    </row>
    <row r="105" spans="1:32">
      <c r="A105" s="91" t="str">
        <f t="shared" si="1"/>
        <v>INDGDMTWCHN4</v>
      </c>
      <c r="B105" s="129" t="s">
        <v>835</v>
      </c>
      <c r="C105" s="89"/>
      <c r="D105" s="320" t="s">
        <v>850</v>
      </c>
      <c r="E105" s="320" t="s">
        <v>851</v>
      </c>
      <c r="F105" s="89" t="s">
        <v>791</v>
      </c>
      <c r="G105" s="321" t="s">
        <v>216</v>
      </c>
      <c r="H105" s="321" t="s">
        <v>610</v>
      </c>
      <c r="I105" s="321" t="s">
        <v>792</v>
      </c>
      <c r="J105" s="290">
        <v>2020</v>
      </c>
      <c r="K105" s="290">
        <v>2020</v>
      </c>
      <c r="L105" s="292">
        <v>1.1618960947726835</v>
      </c>
      <c r="M105" s="292"/>
      <c r="N105" s="290">
        <v>25</v>
      </c>
      <c r="O105" s="293">
        <v>5.0660000000000007</v>
      </c>
      <c r="P105" s="293">
        <v>0.27564999999999995</v>
      </c>
      <c r="Q105" s="290">
        <v>5.7509861111111107</v>
      </c>
      <c r="R105" s="290">
        <v>3.1536000000000002E-2</v>
      </c>
      <c r="S105" s="292">
        <v>0.5</v>
      </c>
      <c r="T105" s="292">
        <v>0</v>
      </c>
      <c r="U105" s="322"/>
      <c r="V105" s="292">
        <v>3.8103905227316492E-2</v>
      </c>
      <c r="W105" s="323"/>
      <c r="X105" s="295">
        <v>11</v>
      </c>
      <c r="Y105" s="295">
        <v>63</v>
      </c>
      <c r="Z105" s="295">
        <v>11</v>
      </c>
      <c r="AA105" s="295">
        <v>3</v>
      </c>
      <c r="AB105" s="295">
        <v>10</v>
      </c>
      <c r="AC105" s="91"/>
      <c r="AD105" s="91"/>
      <c r="AE105" s="290"/>
      <c r="AF105" s="317"/>
    </row>
    <row r="106" spans="1:32">
      <c r="A106" s="91" t="str">
        <f t="shared" si="1"/>
        <v>INDGDMTWCHN4</v>
      </c>
      <c r="B106" s="131" t="s">
        <v>835</v>
      </c>
      <c r="C106" s="91"/>
      <c r="D106" s="288"/>
      <c r="E106" s="288"/>
      <c r="F106" s="91"/>
      <c r="G106" s="91"/>
      <c r="H106" s="289"/>
      <c r="I106" s="289" t="s">
        <v>792</v>
      </c>
      <c r="J106" s="290">
        <v>2030</v>
      </c>
      <c r="K106" s="290"/>
      <c r="L106" s="292">
        <v>1.1618960947726835</v>
      </c>
      <c r="M106" s="292"/>
      <c r="N106" s="290"/>
      <c r="O106" s="293">
        <v>4.8425000000000002</v>
      </c>
      <c r="P106" s="293">
        <v>0.267455</v>
      </c>
      <c r="Q106" s="290">
        <v>5.8461805555555557</v>
      </c>
      <c r="R106" s="298"/>
      <c r="S106" s="298"/>
      <c r="T106" s="298"/>
      <c r="U106" s="298"/>
      <c r="V106" s="292">
        <v>3.8103905227316492E-2</v>
      </c>
      <c r="W106" s="294"/>
      <c r="X106" s="295">
        <v>11</v>
      </c>
      <c r="Y106" s="295">
        <v>49</v>
      </c>
      <c r="Z106" s="295">
        <v>8</v>
      </c>
      <c r="AA106" s="295">
        <v>3</v>
      </c>
      <c r="AB106" s="295">
        <v>10</v>
      </c>
      <c r="AC106" s="91"/>
      <c r="AD106" s="91"/>
      <c r="AE106" s="290"/>
      <c r="AF106" s="317"/>
    </row>
    <row r="107" spans="1:32">
      <c r="A107" s="91" t="str">
        <f t="shared" si="1"/>
        <v>INDGDMTWCHN4</v>
      </c>
      <c r="B107" s="131" t="s">
        <v>835</v>
      </c>
      <c r="C107" s="91"/>
      <c r="D107" s="288"/>
      <c r="E107" s="288"/>
      <c r="F107" s="91"/>
      <c r="G107" s="91"/>
      <c r="H107" s="289"/>
      <c r="I107" s="289" t="s">
        <v>792</v>
      </c>
      <c r="J107" s="290">
        <v>2050</v>
      </c>
      <c r="K107" s="290"/>
      <c r="L107" s="292">
        <v>1.1618960947726835</v>
      </c>
      <c r="M107" s="292"/>
      <c r="N107" s="290"/>
      <c r="O107" s="293">
        <v>4.3955000000000002</v>
      </c>
      <c r="P107" s="293">
        <v>0.25106499999999998</v>
      </c>
      <c r="Q107" s="290">
        <v>5.8937777777777782</v>
      </c>
      <c r="R107" s="298"/>
      <c r="S107" s="298"/>
      <c r="T107" s="298"/>
      <c r="U107" s="298"/>
      <c r="V107" s="292">
        <v>3.8103905227316492E-2</v>
      </c>
      <c r="W107" s="294"/>
      <c r="X107" s="295">
        <v>11</v>
      </c>
      <c r="Y107" s="295">
        <v>41</v>
      </c>
      <c r="Z107" s="295">
        <v>4</v>
      </c>
      <c r="AA107" s="295">
        <v>1</v>
      </c>
      <c r="AB107" s="295">
        <v>10</v>
      </c>
      <c r="AC107" s="48"/>
      <c r="AD107" s="48"/>
      <c r="AE107" s="290"/>
      <c r="AF107" s="324"/>
    </row>
    <row r="108" spans="1:32">
      <c r="A108" s="91" t="str">
        <f t="shared" si="1"/>
        <v>INDGDRHWCHN4</v>
      </c>
      <c r="B108" s="131" t="s">
        <v>835</v>
      </c>
      <c r="C108" s="91"/>
      <c r="D108" s="288" t="s">
        <v>852</v>
      </c>
      <c r="E108" s="288" t="s">
        <v>853</v>
      </c>
      <c r="F108" s="91" t="s">
        <v>791</v>
      </c>
      <c r="G108" s="289" t="s">
        <v>216</v>
      </c>
      <c r="H108" s="289" t="s">
        <v>795</v>
      </c>
      <c r="I108" s="289" t="s">
        <v>792</v>
      </c>
      <c r="J108" s="290">
        <v>2020</v>
      </c>
      <c r="K108" s="290">
        <v>2020</v>
      </c>
      <c r="L108" s="292">
        <v>1.1618960947726835</v>
      </c>
      <c r="M108" s="292"/>
      <c r="N108" s="290">
        <v>25</v>
      </c>
      <c r="O108" s="293">
        <v>5.0660000000000007</v>
      </c>
      <c r="P108" s="293">
        <v>0.27564999999999995</v>
      </c>
      <c r="Q108" s="290">
        <v>5.7509861111111107</v>
      </c>
      <c r="R108" s="290">
        <v>3.1536000000000002E-2</v>
      </c>
      <c r="S108" s="292">
        <v>0.5</v>
      </c>
      <c r="T108" s="292">
        <v>0</v>
      </c>
      <c r="U108" s="322"/>
      <c r="V108" s="292">
        <v>-0.16189609477268352</v>
      </c>
      <c r="W108" s="323"/>
      <c r="X108" s="295">
        <v>11</v>
      </c>
      <c r="Y108" s="295">
        <v>63</v>
      </c>
      <c r="Z108" s="295">
        <v>11</v>
      </c>
      <c r="AA108" s="295">
        <v>3</v>
      </c>
      <c r="AB108" s="295">
        <v>10</v>
      </c>
      <c r="AC108" s="91"/>
      <c r="AD108" s="91"/>
      <c r="AE108" s="290"/>
      <c r="AF108" s="287"/>
    </row>
    <row r="109" spans="1:32">
      <c r="A109" s="91" t="str">
        <f t="shared" si="1"/>
        <v>INDGDRHWCHN4</v>
      </c>
      <c r="B109" s="131" t="s">
        <v>835</v>
      </c>
      <c r="C109" s="91"/>
      <c r="D109" s="288"/>
      <c r="E109" s="288"/>
      <c r="F109" s="91"/>
      <c r="G109" s="91"/>
      <c r="H109" s="289"/>
      <c r="I109" s="289" t="s">
        <v>792</v>
      </c>
      <c r="J109" s="290">
        <v>2030</v>
      </c>
      <c r="K109" s="290"/>
      <c r="L109" s="292">
        <v>1.1618960947726835</v>
      </c>
      <c r="M109" s="292"/>
      <c r="N109" s="290"/>
      <c r="O109" s="293">
        <v>4.8425000000000002</v>
      </c>
      <c r="P109" s="293">
        <v>0.267455</v>
      </c>
      <c r="Q109" s="290">
        <v>5.8461805555555557</v>
      </c>
      <c r="R109" s="298"/>
      <c r="S109" s="298"/>
      <c r="T109" s="298"/>
      <c r="U109" s="298"/>
      <c r="V109" s="292">
        <v>-0.16189609477268352</v>
      </c>
      <c r="W109" s="294"/>
      <c r="X109" s="295">
        <v>11</v>
      </c>
      <c r="Y109" s="295">
        <v>49</v>
      </c>
      <c r="Z109" s="295">
        <v>8</v>
      </c>
      <c r="AA109" s="295">
        <v>3</v>
      </c>
      <c r="AB109" s="295">
        <v>10</v>
      </c>
      <c r="AC109" s="91"/>
      <c r="AD109" s="91"/>
      <c r="AE109" s="290"/>
      <c r="AF109" s="287"/>
    </row>
    <row r="110" spans="1:32">
      <c r="A110" s="91" t="str">
        <f t="shared" si="1"/>
        <v>INDGDRHWCHN4</v>
      </c>
      <c r="B110" s="136" t="s">
        <v>835</v>
      </c>
      <c r="C110" s="48"/>
      <c r="D110" s="325"/>
      <c r="E110" s="325"/>
      <c r="F110" s="48"/>
      <c r="G110" s="48"/>
      <c r="H110" s="326"/>
      <c r="I110" s="326" t="s">
        <v>792</v>
      </c>
      <c r="J110" s="290">
        <v>2050</v>
      </c>
      <c r="K110" s="290"/>
      <c r="L110" s="292">
        <v>1.1618960947726835</v>
      </c>
      <c r="M110" s="292"/>
      <c r="N110" s="290"/>
      <c r="O110" s="293">
        <v>4.3955000000000002</v>
      </c>
      <c r="P110" s="293">
        <v>0.25106499999999998</v>
      </c>
      <c r="Q110" s="290">
        <v>5.8937777777777782</v>
      </c>
      <c r="R110" s="298"/>
      <c r="S110" s="298"/>
      <c r="T110" s="298"/>
      <c r="U110" s="298"/>
      <c r="V110" s="292">
        <v>-0.16189609477268352</v>
      </c>
      <c r="W110" s="329"/>
      <c r="X110" s="295">
        <v>11</v>
      </c>
      <c r="Y110" s="295">
        <v>41</v>
      </c>
      <c r="Z110" s="295">
        <v>4</v>
      </c>
      <c r="AA110" s="295">
        <v>1</v>
      </c>
      <c r="AB110" s="295">
        <v>10</v>
      </c>
      <c r="AC110" s="91"/>
      <c r="AD110" s="91"/>
      <c r="AE110" s="290"/>
      <c r="AF110" s="287"/>
    </row>
    <row r="111" spans="1:32">
      <c r="A111" s="91" t="str">
        <f t="shared" si="1"/>
        <v>INDGDHTELCN10</v>
      </c>
      <c r="B111" s="131" t="s">
        <v>854</v>
      </c>
      <c r="C111" s="91"/>
      <c r="D111" s="288" t="s">
        <v>855</v>
      </c>
      <c r="E111" s="288" t="s">
        <v>856</v>
      </c>
      <c r="F111" s="91" t="s">
        <v>791</v>
      </c>
      <c r="G111" s="289" t="s">
        <v>310</v>
      </c>
      <c r="H111" s="289" t="s">
        <v>609</v>
      </c>
      <c r="I111" s="289" t="s">
        <v>792</v>
      </c>
      <c r="J111" s="290">
        <v>2020</v>
      </c>
      <c r="K111" s="290">
        <v>2020</v>
      </c>
      <c r="L111" s="292">
        <v>1</v>
      </c>
      <c r="M111" s="292"/>
      <c r="N111" s="290">
        <v>12.5</v>
      </c>
      <c r="O111" s="293">
        <v>0.44700000000000001</v>
      </c>
      <c r="P111" s="293">
        <v>0</v>
      </c>
      <c r="Q111" s="290">
        <v>0.37767361111111114</v>
      </c>
      <c r="R111" s="290">
        <v>3.1536000000000002E-2</v>
      </c>
      <c r="S111" s="292">
        <v>0.5</v>
      </c>
      <c r="T111" s="292">
        <v>0</v>
      </c>
      <c r="U111" s="297"/>
      <c r="V111" s="292">
        <v>0.3</v>
      </c>
      <c r="W111" s="294"/>
      <c r="X111" s="295">
        <v>0</v>
      </c>
      <c r="Y111" s="290">
        <v>0</v>
      </c>
      <c r="Z111" s="290">
        <v>0</v>
      </c>
      <c r="AA111" s="290">
        <v>0</v>
      </c>
      <c r="AB111" s="290">
        <v>0</v>
      </c>
      <c r="AC111" s="91"/>
      <c r="AD111" s="91"/>
      <c r="AE111" s="290"/>
      <c r="AF111" s="287"/>
    </row>
    <row r="112" spans="1:32">
      <c r="A112" s="91" t="str">
        <f t="shared" si="1"/>
        <v>INDGDHTELCN10</v>
      </c>
      <c r="B112" s="131" t="s">
        <v>854</v>
      </c>
      <c r="C112" s="91"/>
      <c r="D112" s="288"/>
      <c r="E112" s="288"/>
      <c r="F112" s="91"/>
      <c r="G112" s="91"/>
      <c r="H112" s="289"/>
      <c r="I112" s="289" t="s">
        <v>792</v>
      </c>
      <c r="J112" s="290">
        <v>2030</v>
      </c>
      <c r="K112" s="290"/>
      <c r="L112" s="292">
        <v>1</v>
      </c>
      <c r="M112" s="292"/>
      <c r="N112" s="290"/>
      <c r="O112" s="293">
        <v>0.44700000000000001</v>
      </c>
      <c r="P112" s="293">
        <v>0</v>
      </c>
      <c r="Q112" s="290">
        <v>0.38802083333333331</v>
      </c>
      <c r="R112" s="298"/>
      <c r="S112" s="298"/>
      <c r="T112" s="298"/>
      <c r="U112" s="298"/>
      <c r="V112" s="292">
        <v>0.3</v>
      </c>
      <c r="W112" s="294"/>
      <c r="X112" s="295">
        <v>0</v>
      </c>
      <c r="Y112" s="290">
        <v>0</v>
      </c>
      <c r="Z112" s="290">
        <v>0</v>
      </c>
      <c r="AA112" s="290">
        <v>0</v>
      </c>
      <c r="AB112" s="290">
        <v>0</v>
      </c>
      <c r="AC112" s="91"/>
      <c r="AD112" s="91"/>
      <c r="AE112" s="290"/>
      <c r="AF112" s="287"/>
    </row>
    <row r="113" spans="1:32">
      <c r="A113" s="91" t="str">
        <f t="shared" si="1"/>
        <v>INDGDHTELCN10</v>
      </c>
      <c r="B113" s="131" t="s">
        <v>854</v>
      </c>
      <c r="C113" s="91"/>
      <c r="D113" s="288"/>
      <c r="E113" s="288"/>
      <c r="F113" s="91"/>
      <c r="G113" s="91"/>
      <c r="H113" s="289"/>
      <c r="I113" s="289" t="s">
        <v>792</v>
      </c>
      <c r="J113" s="290">
        <v>2050</v>
      </c>
      <c r="K113" s="290"/>
      <c r="L113" s="292">
        <v>1</v>
      </c>
      <c r="M113" s="292"/>
      <c r="N113" s="290"/>
      <c r="O113" s="293">
        <v>0.44700000000000001</v>
      </c>
      <c r="P113" s="293">
        <v>0</v>
      </c>
      <c r="Q113" s="290">
        <v>0.39319444444444446</v>
      </c>
      <c r="R113" s="298"/>
      <c r="S113" s="298"/>
      <c r="T113" s="298"/>
      <c r="U113" s="298"/>
      <c r="V113" s="292">
        <v>0.3</v>
      </c>
      <c r="W113" s="294"/>
      <c r="X113" s="295">
        <v>0</v>
      </c>
      <c r="Y113" s="290">
        <v>0</v>
      </c>
      <c r="Z113" s="290">
        <v>0</v>
      </c>
      <c r="AA113" s="290">
        <v>0</v>
      </c>
      <c r="AB113" s="290">
        <v>0</v>
      </c>
      <c r="AC113" s="48"/>
      <c r="AD113" s="48"/>
      <c r="AE113" s="290"/>
      <c r="AF113" s="324"/>
    </row>
    <row r="114" spans="1:32">
      <c r="A114" s="91" t="str">
        <f t="shared" si="1"/>
        <v>INDGDMTELCN10</v>
      </c>
      <c r="B114" s="131" t="s">
        <v>854</v>
      </c>
      <c r="C114" s="91"/>
      <c r="D114" s="288" t="s">
        <v>857</v>
      </c>
      <c r="E114" s="288" t="s">
        <v>858</v>
      </c>
      <c r="F114" s="91" t="s">
        <v>791</v>
      </c>
      <c r="G114" s="289" t="s">
        <v>310</v>
      </c>
      <c r="H114" s="289" t="s">
        <v>610</v>
      </c>
      <c r="I114" s="289" t="s">
        <v>792</v>
      </c>
      <c r="J114" s="290">
        <v>2020</v>
      </c>
      <c r="K114" s="290">
        <v>2020</v>
      </c>
      <c r="L114" s="292">
        <v>1</v>
      </c>
      <c r="M114" s="292"/>
      <c r="N114" s="290">
        <v>12.5</v>
      </c>
      <c r="O114" s="293">
        <v>0.44700000000000001</v>
      </c>
      <c r="P114" s="293">
        <v>0</v>
      </c>
      <c r="Q114" s="290">
        <v>0.37767361111111114</v>
      </c>
      <c r="R114" s="290">
        <v>3.1536000000000002E-2</v>
      </c>
      <c r="S114" s="292">
        <v>0.5</v>
      </c>
      <c r="T114" s="292">
        <v>0.5</v>
      </c>
      <c r="U114" s="297"/>
      <c r="V114" s="292">
        <v>0.2</v>
      </c>
      <c r="W114" s="294"/>
      <c r="X114" s="295">
        <v>0</v>
      </c>
      <c r="Y114" s="290">
        <v>0</v>
      </c>
      <c r="Z114" s="290">
        <v>0</v>
      </c>
      <c r="AA114" s="290">
        <v>0</v>
      </c>
      <c r="AB114" s="290">
        <v>0</v>
      </c>
      <c r="AC114" s="91"/>
      <c r="AD114" s="91"/>
      <c r="AE114" s="311"/>
      <c r="AF114" s="287"/>
    </row>
    <row r="115" spans="1:32">
      <c r="A115" s="91" t="str">
        <f t="shared" si="1"/>
        <v>INDGDMTELCN10</v>
      </c>
      <c r="B115" s="131" t="s">
        <v>854</v>
      </c>
      <c r="C115" s="91"/>
      <c r="D115" s="288"/>
      <c r="E115" s="288"/>
      <c r="F115" s="91"/>
      <c r="G115" s="91"/>
      <c r="H115" s="289"/>
      <c r="I115" s="289" t="s">
        <v>792</v>
      </c>
      <c r="J115" s="290">
        <v>2030</v>
      </c>
      <c r="K115" s="290"/>
      <c r="L115" s="292">
        <v>1</v>
      </c>
      <c r="M115" s="292"/>
      <c r="N115" s="290"/>
      <c r="O115" s="293">
        <v>0.44700000000000001</v>
      </c>
      <c r="P115" s="293">
        <v>0</v>
      </c>
      <c r="Q115" s="290">
        <v>0.38802083333333331</v>
      </c>
      <c r="R115" s="298"/>
      <c r="S115" s="298"/>
      <c r="T115" s="298"/>
      <c r="U115" s="298"/>
      <c r="V115" s="292">
        <v>0.2</v>
      </c>
      <c r="W115" s="294"/>
      <c r="X115" s="295">
        <v>0</v>
      </c>
      <c r="Y115" s="290">
        <v>0</v>
      </c>
      <c r="Z115" s="290">
        <v>0</v>
      </c>
      <c r="AA115" s="290">
        <v>0</v>
      </c>
      <c r="AB115" s="290">
        <v>0</v>
      </c>
      <c r="AC115" s="91"/>
      <c r="AD115" s="91"/>
      <c r="AE115" s="290"/>
      <c r="AF115" s="287"/>
    </row>
    <row r="116" spans="1:32">
      <c r="A116" s="91" t="str">
        <f t="shared" si="1"/>
        <v>INDGDMTELCN10</v>
      </c>
      <c r="B116" s="136" t="s">
        <v>854</v>
      </c>
      <c r="C116" s="48"/>
      <c r="D116" s="325"/>
      <c r="E116" s="325"/>
      <c r="F116" s="48"/>
      <c r="G116" s="48"/>
      <c r="H116" s="326"/>
      <c r="I116" s="326" t="s">
        <v>792</v>
      </c>
      <c r="J116" s="290">
        <v>2050</v>
      </c>
      <c r="K116" s="290"/>
      <c r="L116" s="292">
        <v>1</v>
      </c>
      <c r="M116" s="292"/>
      <c r="N116" s="290"/>
      <c r="O116" s="293">
        <v>0.44700000000000001</v>
      </c>
      <c r="P116" s="293">
        <v>0</v>
      </c>
      <c r="Q116" s="290">
        <v>0.39319444444444446</v>
      </c>
      <c r="R116" s="327"/>
      <c r="S116" s="327"/>
      <c r="T116" s="327"/>
      <c r="U116" s="327"/>
      <c r="V116" s="292">
        <v>0.2</v>
      </c>
      <c r="W116" s="328"/>
      <c r="X116" s="295">
        <v>0</v>
      </c>
      <c r="Y116" s="290">
        <v>0</v>
      </c>
      <c r="Z116" s="290">
        <v>0</v>
      </c>
      <c r="AA116" s="290">
        <v>0</v>
      </c>
      <c r="AB116" s="290">
        <v>0</v>
      </c>
      <c r="AC116" s="91"/>
      <c r="AD116" s="91"/>
      <c r="AE116" s="290"/>
      <c r="AF116" s="287"/>
    </row>
    <row r="117" spans="1:32">
      <c r="A117" s="91" t="str">
        <f t="shared" si="1"/>
        <v>INDGDHTDSLN1</v>
      </c>
      <c r="B117" s="131" t="s">
        <v>859</v>
      </c>
      <c r="C117" s="91"/>
      <c r="D117" s="288" t="s">
        <v>860</v>
      </c>
      <c r="E117" s="288" t="s">
        <v>861</v>
      </c>
      <c r="F117" s="91" t="s">
        <v>791</v>
      </c>
      <c r="G117" s="289" t="s">
        <v>862</v>
      </c>
      <c r="H117" s="289" t="s">
        <v>609</v>
      </c>
      <c r="I117" s="289" t="s">
        <v>792</v>
      </c>
      <c r="J117" s="311">
        <v>2020</v>
      </c>
      <c r="K117" s="311">
        <v>2020</v>
      </c>
      <c r="L117" s="292">
        <v>0.94</v>
      </c>
      <c r="M117" s="312"/>
      <c r="N117" s="311">
        <v>25</v>
      </c>
      <c r="O117" s="313">
        <v>0.40975</v>
      </c>
      <c r="P117" s="313">
        <v>1.341E-2</v>
      </c>
      <c r="Q117" s="311">
        <v>2.0694444444444446</v>
      </c>
      <c r="R117" s="311">
        <v>3.1536000000000002E-2</v>
      </c>
      <c r="S117" s="312">
        <v>0.5</v>
      </c>
      <c r="T117" s="312">
        <v>1</v>
      </c>
      <c r="U117" s="297"/>
      <c r="V117" s="292">
        <v>0.36000000000000004</v>
      </c>
      <c r="W117" s="294"/>
      <c r="X117" s="295">
        <v>0.5</v>
      </c>
      <c r="Y117" s="311">
        <v>25</v>
      </c>
      <c r="Z117" s="311">
        <v>0</v>
      </c>
      <c r="AA117" s="311">
        <v>0</v>
      </c>
      <c r="AB117" s="311">
        <v>0.1</v>
      </c>
      <c r="AC117" s="91"/>
      <c r="AD117" s="91"/>
      <c r="AE117" s="290"/>
      <c r="AF117" s="287"/>
    </row>
    <row r="118" spans="1:32">
      <c r="A118" s="91" t="str">
        <f t="shared" si="1"/>
        <v>INDGDHTDSLN1</v>
      </c>
      <c r="B118" s="131" t="s">
        <v>859</v>
      </c>
      <c r="C118" s="91"/>
      <c r="D118" s="288"/>
      <c r="E118" s="288"/>
      <c r="F118" s="91"/>
      <c r="G118" s="91"/>
      <c r="H118" s="289"/>
      <c r="I118" s="289" t="s">
        <v>792</v>
      </c>
      <c r="J118" s="290">
        <v>2030</v>
      </c>
      <c r="K118" s="290"/>
      <c r="L118" s="292">
        <v>0.95</v>
      </c>
      <c r="M118" s="292"/>
      <c r="N118" s="290"/>
      <c r="O118" s="293">
        <v>0.3469940346244772</v>
      </c>
      <c r="P118" s="293">
        <v>1.2664999999999999E-2</v>
      </c>
      <c r="Q118" s="290">
        <v>1.8625</v>
      </c>
      <c r="R118" s="298"/>
      <c r="S118" s="298"/>
      <c r="T118" s="298"/>
      <c r="U118" s="298"/>
      <c r="V118" s="292">
        <v>0.35000000000000003</v>
      </c>
      <c r="W118" s="294"/>
      <c r="X118" s="295">
        <v>0.5</v>
      </c>
      <c r="Y118" s="290">
        <v>20</v>
      </c>
      <c r="Z118" s="290">
        <v>0</v>
      </c>
      <c r="AA118" s="290">
        <v>0</v>
      </c>
      <c r="AB118" s="290">
        <v>0.1</v>
      </c>
      <c r="AC118" s="91"/>
      <c r="AD118" s="91"/>
      <c r="AE118" s="290"/>
      <c r="AF118" s="287"/>
    </row>
    <row r="119" spans="1:32">
      <c r="A119" s="91" t="str">
        <f t="shared" si="1"/>
        <v>INDGDHTDSLN1</v>
      </c>
      <c r="B119" s="131" t="s">
        <v>859</v>
      </c>
      <c r="C119" s="91"/>
      <c r="D119" s="288"/>
      <c r="E119" s="288"/>
      <c r="F119" s="91"/>
      <c r="G119" s="91"/>
      <c r="H119" s="289"/>
      <c r="I119" s="289" t="s">
        <v>792</v>
      </c>
      <c r="J119" s="290">
        <v>2050</v>
      </c>
      <c r="K119" s="290"/>
      <c r="L119" s="292">
        <v>0.96</v>
      </c>
      <c r="M119" s="292"/>
      <c r="N119" s="290"/>
      <c r="O119" s="293">
        <v>0.32813985758696651</v>
      </c>
      <c r="P119" s="293">
        <v>1.1175000000000001E-2</v>
      </c>
      <c r="Q119" s="290">
        <v>1.8625</v>
      </c>
      <c r="R119" s="298"/>
      <c r="S119" s="298"/>
      <c r="T119" s="298"/>
      <c r="U119" s="298"/>
      <c r="V119" s="292">
        <v>0.34</v>
      </c>
      <c r="W119" s="294"/>
      <c r="X119" s="295">
        <v>0.5</v>
      </c>
      <c r="Y119" s="290">
        <v>15</v>
      </c>
      <c r="Z119" s="290">
        <v>0</v>
      </c>
      <c r="AA119" s="290">
        <v>0</v>
      </c>
      <c r="AB119" s="290">
        <v>0.1</v>
      </c>
      <c r="AC119" s="91"/>
      <c r="AD119" s="91"/>
      <c r="AE119" s="290"/>
      <c r="AF119" s="287"/>
    </row>
    <row r="120" spans="1:32">
      <c r="A120" s="91" t="str">
        <f t="shared" si="1"/>
        <v>INDGDMTDSLN1</v>
      </c>
      <c r="B120" s="131" t="s">
        <v>859</v>
      </c>
      <c r="C120" s="91"/>
      <c r="D120" s="288" t="s">
        <v>863</v>
      </c>
      <c r="E120" s="288" t="s">
        <v>864</v>
      </c>
      <c r="F120" s="91" t="s">
        <v>791</v>
      </c>
      <c r="G120" s="289" t="s">
        <v>862</v>
      </c>
      <c r="H120" s="289" t="s">
        <v>610</v>
      </c>
      <c r="I120" s="289" t="s">
        <v>792</v>
      </c>
      <c r="J120" s="290">
        <v>2020</v>
      </c>
      <c r="K120" s="290">
        <v>2020</v>
      </c>
      <c r="L120" s="292">
        <v>0.94</v>
      </c>
      <c r="M120" s="292"/>
      <c r="N120" s="290">
        <v>25</v>
      </c>
      <c r="O120" s="293">
        <v>0.40975</v>
      </c>
      <c r="P120" s="293">
        <v>1.341E-2</v>
      </c>
      <c r="Q120" s="290">
        <v>2.0694444444444446</v>
      </c>
      <c r="R120" s="290">
        <v>3.1536000000000002E-2</v>
      </c>
      <c r="S120" s="292">
        <v>0.5</v>
      </c>
      <c r="T120" s="292">
        <v>0.97</v>
      </c>
      <c r="U120" s="297"/>
      <c r="V120" s="292">
        <v>0.26000000000000006</v>
      </c>
      <c r="W120" s="294"/>
      <c r="X120" s="295">
        <v>0.5</v>
      </c>
      <c r="Y120" s="290">
        <v>25</v>
      </c>
      <c r="Z120" s="290">
        <v>0</v>
      </c>
      <c r="AA120" s="290">
        <v>0</v>
      </c>
      <c r="AB120" s="290">
        <v>0.1</v>
      </c>
      <c r="AC120" s="91"/>
      <c r="AD120" s="91"/>
      <c r="AE120" s="290"/>
      <c r="AF120" s="287"/>
    </row>
    <row r="121" spans="1:32">
      <c r="A121" s="91" t="str">
        <f t="shared" si="1"/>
        <v>INDGDMTDSLN1</v>
      </c>
      <c r="B121" s="131" t="s">
        <v>859</v>
      </c>
      <c r="C121" s="91"/>
      <c r="D121" s="288"/>
      <c r="E121" s="288"/>
      <c r="F121" s="91"/>
      <c r="G121" s="91"/>
      <c r="H121" s="289"/>
      <c r="I121" s="289" t="s">
        <v>792</v>
      </c>
      <c r="J121" s="290">
        <v>2030</v>
      </c>
      <c r="K121" s="290"/>
      <c r="L121" s="292">
        <v>0.95</v>
      </c>
      <c r="M121" s="292"/>
      <c r="N121" s="290"/>
      <c r="O121" s="293">
        <v>0.3469940346244772</v>
      </c>
      <c r="P121" s="293">
        <v>1.2664999999999999E-2</v>
      </c>
      <c r="Q121" s="290">
        <v>1.8625</v>
      </c>
      <c r="R121" s="298"/>
      <c r="S121" s="298"/>
      <c r="T121" s="298"/>
      <c r="U121" s="298"/>
      <c r="V121" s="292">
        <v>0.25000000000000006</v>
      </c>
      <c r="W121" s="294"/>
      <c r="X121" s="295">
        <v>0.5</v>
      </c>
      <c r="Y121" s="290">
        <v>20</v>
      </c>
      <c r="Z121" s="290">
        <v>0</v>
      </c>
      <c r="AA121" s="290">
        <v>0</v>
      </c>
      <c r="AB121" s="290">
        <v>0.1</v>
      </c>
      <c r="AC121" s="91"/>
      <c r="AD121" s="91"/>
      <c r="AE121" s="290"/>
      <c r="AF121" s="287"/>
    </row>
    <row r="122" spans="1:32">
      <c r="A122" s="91" t="str">
        <f t="shared" si="1"/>
        <v>INDGDMTDSLN1</v>
      </c>
      <c r="B122" s="131" t="s">
        <v>859</v>
      </c>
      <c r="C122" s="91"/>
      <c r="D122" s="288"/>
      <c r="E122" s="288"/>
      <c r="F122" s="91"/>
      <c r="G122" s="91"/>
      <c r="H122" s="289"/>
      <c r="I122" s="289" t="s">
        <v>792</v>
      </c>
      <c r="J122" s="290">
        <v>2050</v>
      </c>
      <c r="K122" s="290"/>
      <c r="L122" s="292">
        <v>0.96</v>
      </c>
      <c r="M122" s="292"/>
      <c r="N122" s="290"/>
      <c r="O122" s="293">
        <v>0.32813985758696651</v>
      </c>
      <c r="P122" s="293">
        <v>1.1175000000000001E-2</v>
      </c>
      <c r="Q122" s="290">
        <v>1.8625</v>
      </c>
      <c r="R122" s="298"/>
      <c r="S122" s="298"/>
      <c r="T122" s="298"/>
      <c r="U122" s="298"/>
      <c r="V122" s="292">
        <v>0.24000000000000005</v>
      </c>
      <c r="W122" s="294"/>
      <c r="X122" s="295">
        <v>0.5</v>
      </c>
      <c r="Y122" s="290">
        <v>15</v>
      </c>
      <c r="Z122" s="290">
        <v>0</v>
      </c>
      <c r="AA122" s="290">
        <v>0</v>
      </c>
      <c r="AB122" s="290">
        <v>0.1</v>
      </c>
      <c r="AC122" s="48"/>
      <c r="AD122" s="48"/>
      <c r="AE122" s="290"/>
      <c r="AF122" s="324"/>
    </row>
    <row r="123" spans="1:32">
      <c r="A123" s="91" t="str">
        <f t="shared" si="1"/>
        <v>INDGDRHDSLN1</v>
      </c>
      <c r="B123" s="131" t="s">
        <v>859</v>
      </c>
      <c r="C123" s="91"/>
      <c r="D123" s="288" t="s">
        <v>865</v>
      </c>
      <c r="E123" s="288" t="s">
        <v>866</v>
      </c>
      <c r="F123" s="91" t="s">
        <v>791</v>
      </c>
      <c r="G123" s="289" t="s">
        <v>862</v>
      </c>
      <c r="H123" s="289" t="s">
        <v>795</v>
      </c>
      <c r="I123" s="289" t="s">
        <v>792</v>
      </c>
      <c r="J123" s="290">
        <v>2020</v>
      </c>
      <c r="K123" s="290">
        <v>2020</v>
      </c>
      <c r="L123" s="292">
        <v>0.94</v>
      </c>
      <c r="M123" s="292"/>
      <c r="N123" s="290">
        <v>25</v>
      </c>
      <c r="O123" s="293">
        <v>0.40975</v>
      </c>
      <c r="P123" s="293">
        <v>1.341E-2</v>
      </c>
      <c r="Q123" s="290">
        <v>2.0694444444444446</v>
      </c>
      <c r="R123" s="290">
        <v>3.1536000000000002E-2</v>
      </c>
      <c r="S123" s="292">
        <v>0.5</v>
      </c>
      <c r="T123" s="292">
        <v>1</v>
      </c>
      <c r="U123" s="297"/>
      <c r="V123" s="292">
        <v>6.0000000000000053E-2</v>
      </c>
      <c r="W123" s="294"/>
      <c r="X123" s="295">
        <v>0.5</v>
      </c>
      <c r="Y123" s="290">
        <v>25</v>
      </c>
      <c r="Z123" s="290">
        <v>0</v>
      </c>
      <c r="AA123" s="290">
        <v>0</v>
      </c>
      <c r="AB123" s="290">
        <v>0.1</v>
      </c>
      <c r="AC123" s="89"/>
      <c r="AD123" s="89"/>
      <c r="AE123" s="290"/>
      <c r="AF123" s="316"/>
    </row>
    <row r="124" spans="1:32">
      <c r="A124" s="91" t="str">
        <f t="shared" si="1"/>
        <v>INDGDRHDSLN1</v>
      </c>
      <c r="B124" s="131" t="s">
        <v>859</v>
      </c>
      <c r="C124" s="91"/>
      <c r="D124" s="288"/>
      <c r="E124" s="288"/>
      <c r="F124" s="91"/>
      <c r="G124" s="91"/>
      <c r="H124" s="289"/>
      <c r="I124" s="289" t="s">
        <v>792</v>
      </c>
      <c r="J124" s="290">
        <v>2030</v>
      </c>
      <c r="K124" s="290"/>
      <c r="L124" s="292">
        <v>0.95</v>
      </c>
      <c r="M124" s="292"/>
      <c r="N124" s="290"/>
      <c r="O124" s="293">
        <v>0.3469940346244772</v>
      </c>
      <c r="P124" s="293">
        <v>1.2664999999999999E-2</v>
      </c>
      <c r="Q124" s="290">
        <v>1.8625</v>
      </c>
      <c r="R124" s="298"/>
      <c r="S124" s="298"/>
      <c r="T124" s="298"/>
      <c r="U124" s="298"/>
      <c r="V124" s="292">
        <v>5.0000000000000044E-2</v>
      </c>
      <c r="W124" s="294"/>
      <c r="X124" s="295">
        <v>0.5</v>
      </c>
      <c r="Y124" s="290">
        <v>20</v>
      </c>
      <c r="Z124" s="290">
        <v>0</v>
      </c>
      <c r="AA124" s="290">
        <v>0</v>
      </c>
      <c r="AB124" s="290">
        <v>0.1</v>
      </c>
      <c r="AC124" s="91"/>
      <c r="AD124" s="91"/>
      <c r="AE124" s="290"/>
      <c r="AF124" s="317"/>
    </row>
    <row r="125" spans="1:32">
      <c r="A125" s="91" t="str">
        <f t="shared" si="1"/>
        <v>INDGDRHDSLN1</v>
      </c>
      <c r="B125" s="136" t="s">
        <v>859</v>
      </c>
      <c r="C125" s="48"/>
      <c r="D125" s="325"/>
      <c r="E125" s="325"/>
      <c r="F125" s="48"/>
      <c r="G125" s="48"/>
      <c r="H125" s="326"/>
      <c r="I125" s="326" t="s">
        <v>792</v>
      </c>
      <c r="J125" s="290">
        <v>2050</v>
      </c>
      <c r="K125" s="290"/>
      <c r="L125" s="292">
        <v>0.96</v>
      </c>
      <c r="M125" s="292"/>
      <c r="N125" s="290"/>
      <c r="O125" s="293">
        <v>0.32813985758696651</v>
      </c>
      <c r="P125" s="293">
        <v>1.1175000000000001E-2</v>
      </c>
      <c r="Q125" s="290">
        <v>1.8625</v>
      </c>
      <c r="R125" s="327"/>
      <c r="S125" s="327"/>
      <c r="T125" s="327"/>
      <c r="U125" s="327"/>
      <c r="V125" s="292">
        <v>4.0000000000000036E-2</v>
      </c>
      <c r="W125" s="328"/>
      <c r="X125" s="295">
        <v>0.5</v>
      </c>
      <c r="Y125" s="290">
        <v>15</v>
      </c>
      <c r="Z125" s="290">
        <v>0</v>
      </c>
      <c r="AA125" s="290">
        <v>0</v>
      </c>
      <c r="AB125" s="290">
        <v>0.1</v>
      </c>
      <c r="AC125" s="91"/>
      <c r="AD125" s="91"/>
      <c r="AE125" s="290"/>
      <c r="AF125" s="317"/>
    </row>
    <row r="126" spans="1:32">
      <c r="A126" s="91" t="str">
        <f t="shared" si="1"/>
        <v>INDGDMTDSLN2</v>
      </c>
      <c r="B126" s="131" t="s">
        <v>859</v>
      </c>
      <c r="C126" s="91"/>
      <c r="D126" s="288" t="s">
        <v>867</v>
      </c>
      <c r="E126" s="320" t="s">
        <v>868</v>
      </c>
      <c r="F126" s="89" t="s">
        <v>791</v>
      </c>
      <c r="G126" s="289" t="s">
        <v>862</v>
      </c>
      <c r="H126" s="321" t="s">
        <v>610</v>
      </c>
      <c r="I126" s="321" t="s">
        <v>792</v>
      </c>
      <c r="J126" s="290">
        <v>2020</v>
      </c>
      <c r="K126" s="290">
        <v>2020</v>
      </c>
      <c r="L126" s="292">
        <v>0.95</v>
      </c>
      <c r="M126" s="292"/>
      <c r="N126" s="290">
        <v>25</v>
      </c>
      <c r="O126" s="293">
        <v>0.32780000000000004</v>
      </c>
      <c r="P126" s="293">
        <v>1.341E-2</v>
      </c>
      <c r="Q126" s="290">
        <v>2.0694444444444446</v>
      </c>
      <c r="R126" s="290">
        <v>3.1536000000000002E-2</v>
      </c>
      <c r="S126" s="292">
        <v>0.5</v>
      </c>
      <c r="T126" s="292">
        <v>0.5</v>
      </c>
      <c r="U126" s="322"/>
      <c r="V126" s="292">
        <v>0.25000000000000006</v>
      </c>
      <c r="W126" s="323"/>
      <c r="X126" s="295">
        <v>0.5</v>
      </c>
      <c r="Y126" s="295">
        <v>25</v>
      </c>
      <c r="Z126" s="295">
        <v>0</v>
      </c>
      <c r="AA126" s="295">
        <v>0</v>
      </c>
      <c r="AB126" s="295">
        <v>0.1</v>
      </c>
      <c r="AC126" s="91"/>
      <c r="AD126" s="91"/>
      <c r="AE126" s="290"/>
      <c r="AF126" s="317"/>
    </row>
    <row r="127" spans="1:32">
      <c r="A127" s="91" t="str">
        <f t="shared" si="1"/>
        <v>INDGDMTDSLN2</v>
      </c>
      <c r="B127" s="131" t="s">
        <v>859</v>
      </c>
      <c r="C127" s="91"/>
      <c r="D127" s="288"/>
      <c r="E127" s="288"/>
      <c r="F127" s="91"/>
      <c r="G127" s="91"/>
      <c r="H127" s="289"/>
      <c r="I127" s="289" t="s">
        <v>792</v>
      </c>
      <c r="J127" s="290">
        <v>2030</v>
      </c>
      <c r="K127" s="290"/>
      <c r="L127" s="292">
        <v>0.96</v>
      </c>
      <c r="M127" s="292"/>
      <c r="N127" s="290"/>
      <c r="O127" s="293">
        <v>0.27759522769958173</v>
      </c>
      <c r="P127" s="293">
        <v>1.2664999999999999E-2</v>
      </c>
      <c r="Q127" s="290">
        <v>1.8625</v>
      </c>
      <c r="R127" s="298"/>
      <c r="S127" s="298"/>
      <c r="T127" s="298"/>
      <c r="U127" s="298"/>
      <c r="V127" s="292">
        <v>0.24000000000000005</v>
      </c>
      <c r="W127" s="294"/>
      <c r="X127" s="295">
        <v>0.5</v>
      </c>
      <c r="Y127" s="295">
        <v>20</v>
      </c>
      <c r="Z127" s="295">
        <v>0</v>
      </c>
      <c r="AA127" s="295">
        <v>0</v>
      </c>
      <c r="AB127" s="295">
        <v>0.1</v>
      </c>
      <c r="AC127" s="91"/>
      <c r="AD127" s="91"/>
      <c r="AE127" s="290"/>
      <c r="AF127" s="317"/>
    </row>
    <row r="128" spans="1:32">
      <c r="A128" s="91" t="str">
        <f t="shared" si="1"/>
        <v>INDGDMTDSLN2</v>
      </c>
      <c r="B128" s="131" t="s">
        <v>859</v>
      </c>
      <c r="C128" s="91"/>
      <c r="D128" s="91"/>
      <c r="E128" s="288"/>
      <c r="F128" s="91"/>
      <c r="G128" s="91"/>
      <c r="H128" s="289"/>
      <c r="I128" s="289" t="s">
        <v>792</v>
      </c>
      <c r="J128" s="290">
        <v>2050</v>
      </c>
      <c r="K128" s="290"/>
      <c r="L128" s="292">
        <v>0.97</v>
      </c>
      <c r="M128" s="292"/>
      <c r="N128" s="290"/>
      <c r="O128" s="293">
        <v>0.26251188606957326</v>
      </c>
      <c r="P128" s="293">
        <v>1.1175000000000001E-2</v>
      </c>
      <c r="Q128" s="290">
        <v>1.8625</v>
      </c>
      <c r="R128" s="298"/>
      <c r="S128" s="298"/>
      <c r="T128" s="298"/>
      <c r="U128" s="298"/>
      <c r="V128" s="292">
        <v>0.23000000000000004</v>
      </c>
      <c r="W128" s="294"/>
      <c r="X128" s="295">
        <v>0.5</v>
      </c>
      <c r="Y128" s="295">
        <v>15</v>
      </c>
      <c r="Z128" s="295">
        <v>0</v>
      </c>
      <c r="AA128" s="295">
        <v>0</v>
      </c>
      <c r="AB128" s="295">
        <v>0.1</v>
      </c>
      <c r="AC128" s="48"/>
      <c r="AD128" s="48"/>
      <c r="AE128" s="290"/>
      <c r="AF128" s="324"/>
    </row>
    <row r="129" spans="1:32">
      <c r="A129" s="91" t="str">
        <f t="shared" si="1"/>
        <v>INDGDRHDSLN2</v>
      </c>
      <c r="B129" s="131" t="s">
        <v>859</v>
      </c>
      <c r="C129" s="91"/>
      <c r="D129" s="288" t="s">
        <v>869</v>
      </c>
      <c r="E129" s="288" t="s">
        <v>870</v>
      </c>
      <c r="F129" s="91" t="s">
        <v>791</v>
      </c>
      <c r="G129" s="289" t="s">
        <v>862</v>
      </c>
      <c r="H129" s="289" t="s">
        <v>795</v>
      </c>
      <c r="I129" s="289" t="s">
        <v>792</v>
      </c>
      <c r="J129" s="290">
        <v>2020</v>
      </c>
      <c r="K129" s="290">
        <v>2020</v>
      </c>
      <c r="L129" s="292">
        <v>0.95</v>
      </c>
      <c r="M129" s="292"/>
      <c r="N129" s="290">
        <v>25</v>
      </c>
      <c r="O129" s="293">
        <v>0.32780000000000004</v>
      </c>
      <c r="P129" s="293">
        <v>1.341E-2</v>
      </c>
      <c r="Q129" s="290">
        <v>2.0694444444444446</v>
      </c>
      <c r="R129" s="290">
        <v>3.1536000000000002E-2</v>
      </c>
      <c r="S129" s="292">
        <v>0.5</v>
      </c>
      <c r="T129" s="292">
        <v>1</v>
      </c>
      <c r="U129" s="297"/>
      <c r="V129" s="292">
        <v>5.0000000000000044E-2</v>
      </c>
      <c r="W129" s="294"/>
      <c r="X129" s="295">
        <v>0.5</v>
      </c>
      <c r="Y129" s="295">
        <v>25</v>
      </c>
      <c r="Z129" s="295">
        <v>0</v>
      </c>
      <c r="AA129" s="295">
        <v>0</v>
      </c>
      <c r="AB129" s="295">
        <v>0.1</v>
      </c>
      <c r="AC129" s="91"/>
      <c r="AD129" s="91"/>
      <c r="AE129" s="311"/>
      <c r="AF129" s="287"/>
    </row>
    <row r="130" spans="1:32">
      <c r="A130" s="91" t="str">
        <f t="shared" si="1"/>
        <v>INDGDRHDSLN2</v>
      </c>
      <c r="B130" s="131" t="s">
        <v>859</v>
      </c>
      <c r="C130" s="91"/>
      <c r="D130" s="91"/>
      <c r="E130" s="288"/>
      <c r="F130" s="91"/>
      <c r="G130" s="91"/>
      <c r="H130" s="289"/>
      <c r="I130" s="289" t="s">
        <v>792</v>
      </c>
      <c r="J130" s="290">
        <v>2030</v>
      </c>
      <c r="K130" s="290"/>
      <c r="L130" s="292">
        <v>0.96</v>
      </c>
      <c r="M130" s="292"/>
      <c r="N130" s="290"/>
      <c r="O130" s="293">
        <v>0.27759522769958173</v>
      </c>
      <c r="P130" s="293">
        <v>1.2664999999999999E-2</v>
      </c>
      <c r="Q130" s="290">
        <v>1.8625</v>
      </c>
      <c r="R130" s="298"/>
      <c r="S130" s="298"/>
      <c r="T130" s="298"/>
      <c r="U130" s="298"/>
      <c r="V130" s="292">
        <v>4.0000000000000036E-2</v>
      </c>
      <c r="W130" s="294"/>
      <c r="X130" s="295">
        <v>0.5</v>
      </c>
      <c r="Y130" s="295">
        <v>20</v>
      </c>
      <c r="Z130" s="295">
        <v>0</v>
      </c>
      <c r="AA130" s="295">
        <v>0</v>
      </c>
      <c r="AB130" s="295">
        <v>0.1</v>
      </c>
      <c r="AC130" s="91"/>
      <c r="AD130" s="91"/>
      <c r="AE130" s="290"/>
      <c r="AF130" s="287"/>
    </row>
    <row r="131" spans="1:32">
      <c r="A131" s="91" t="str">
        <f t="shared" si="1"/>
        <v>INDGDRHDSLN2</v>
      </c>
      <c r="B131" s="136" t="s">
        <v>859</v>
      </c>
      <c r="C131" s="48"/>
      <c r="D131" s="325"/>
      <c r="E131" s="325"/>
      <c r="F131" s="48"/>
      <c r="G131" s="48"/>
      <c r="H131" s="326"/>
      <c r="I131" s="326" t="s">
        <v>792</v>
      </c>
      <c r="J131" s="290">
        <v>2050</v>
      </c>
      <c r="K131" s="290"/>
      <c r="L131" s="292">
        <v>0.97</v>
      </c>
      <c r="M131" s="292"/>
      <c r="N131" s="290"/>
      <c r="O131" s="293">
        <v>0.26251188606957326</v>
      </c>
      <c r="P131" s="293">
        <v>1.1175000000000001E-2</v>
      </c>
      <c r="Q131" s="290">
        <v>1.8625</v>
      </c>
      <c r="R131" s="327"/>
      <c r="S131" s="327"/>
      <c r="T131" s="327"/>
      <c r="U131" s="327"/>
      <c r="V131" s="292">
        <v>3.0000000000000027E-2</v>
      </c>
      <c r="W131" s="328"/>
      <c r="X131" s="295">
        <v>0.5</v>
      </c>
      <c r="Y131" s="295">
        <v>15</v>
      </c>
      <c r="Z131" s="295">
        <v>0</v>
      </c>
      <c r="AA131" s="295">
        <v>0</v>
      </c>
      <c r="AB131" s="295">
        <v>0.1</v>
      </c>
      <c r="AC131" s="91"/>
      <c r="AD131" s="91"/>
      <c r="AE131" s="290"/>
      <c r="AF131" s="287"/>
    </row>
    <row r="132" spans="1:32">
      <c r="A132" s="91" t="str">
        <f t="shared" si="1"/>
        <v>INDGDHTGASN1</v>
      </c>
      <c r="B132" s="131" t="s">
        <v>871</v>
      </c>
      <c r="C132" s="91"/>
      <c r="D132" s="288" t="s">
        <v>872</v>
      </c>
      <c r="E132" s="288" t="s">
        <v>873</v>
      </c>
      <c r="F132" s="91" t="s">
        <v>791</v>
      </c>
      <c r="G132" s="289" t="s">
        <v>874</v>
      </c>
      <c r="H132" s="289" t="s">
        <v>609</v>
      </c>
      <c r="I132" s="289" t="s">
        <v>792</v>
      </c>
      <c r="J132" s="311">
        <v>2020</v>
      </c>
      <c r="K132" s="311">
        <v>2020</v>
      </c>
      <c r="L132" s="292">
        <v>0.92</v>
      </c>
      <c r="M132" s="312"/>
      <c r="N132" s="311">
        <v>25</v>
      </c>
      <c r="O132" s="313">
        <v>0.40636363636363632</v>
      </c>
      <c r="P132" s="313">
        <v>1.49E-2</v>
      </c>
      <c r="Q132" s="311">
        <v>2.276388888888889</v>
      </c>
      <c r="R132" s="311">
        <v>3.1536000000000002E-2</v>
      </c>
      <c r="S132" s="312">
        <v>0.5</v>
      </c>
      <c r="T132" s="312">
        <v>1</v>
      </c>
      <c r="U132" s="297"/>
      <c r="V132" s="292">
        <v>0.37999999999999995</v>
      </c>
      <c r="W132" s="294"/>
      <c r="X132" s="295">
        <v>0.3</v>
      </c>
      <c r="Y132" s="311">
        <v>9</v>
      </c>
      <c r="Z132" s="311">
        <v>3</v>
      </c>
      <c r="AA132" s="311">
        <v>1</v>
      </c>
      <c r="AB132" s="311">
        <v>0.1</v>
      </c>
      <c r="AC132" s="91"/>
      <c r="AD132" s="91"/>
      <c r="AE132" s="290"/>
      <c r="AF132" s="287"/>
    </row>
    <row r="133" spans="1:32">
      <c r="A133" s="91" t="str">
        <f t="shared" si="1"/>
        <v>INDGDHTGASN1</v>
      </c>
      <c r="B133" s="131" t="s">
        <v>871</v>
      </c>
      <c r="C133" s="91"/>
      <c r="D133" s="91"/>
      <c r="E133" s="288"/>
      <c r="F133" s="91"/>
      <c r="G133" s="91"/>
      <c r="H133" s="289"/>
      <c r="I133" s="289" t="s">
        <v>792</v>
      </c>
      <c r="J133" s="290">
        <v>2030</v>
      </c>
      <c r="K133" s="290"/>
      <c r="L133" s="292">
        <v>0.93</v>
      </c>
      <c r="M133" s="292"/>
      <c r="N133" s="290"/>
      <c r="O133" s="293">
        <v>0.33863636363636368</v>
      </c>
      <c r="P133" s="293">
        <v>1.4154999999999999E-2</v>
      </c>
      <c r="Q133" s="290">
        <v>2.0694444444444446</v>
      </c>
      <c r="R133" s="298"/>
      <c r="S133" s="298"/>
      <c r="T133" s="298"/>
      <c r="U133" s="298"/>
      <c r="V133" s="292">
        <v>0.36999999999999994</v>
      </c>
      <c r="W133" s="294"/>
      <c r="X133" s="295">
        <v>0.3</v>
      </c>
      <c r="Y133" s="290">
        <v>7</v>
      </c>
      <c r="Z133" s="290">
        <v>2</v>
      </c>
      <c r="AA133" s="290">
        <v>1</v>
      </c>
      <c r="AB133" s="290">
        <v>0.1</v>
      </c>
      <c r="AC133" s="91"/>
      <c r="AD133" s="91"/>
      <c r="AE133" s="290"/>
      <c r="AF133" s="287"/>
    </row>
    <row r="134" spans="1:32">
      <c r="A134" s="91" t="str">
        <f t="shared" si="1"/>
        <v>INDGDHTGASN1</v>
      </c>
      <c r="B134" s="131" t="s">
        <v>871</v>
      </c>
      <c r="C134" s="91"/>
      <c r="D134" s="91"/>
      <c r="E134" s="288"/>
      <c r="F134" s="91"/>
      <c r="G134" s="91"/>
      <c r="H134" s="289"/>
      <c r="I134" s="289" t="s">
        <v>792</v>
      </c>
      <c r="J134" s="290">
        <v>2050</v>
      </c>
      <c r="K134" s="290"/>
      <c r="L134" s="292">
        <v>0.94</v>
      </c>
      <c r="M134" s="292"/>
      <c r="N134" s="290"/>
      <c r="O134" s="293">
        <v>0.33863636363636368</v>
      </c>
      <c r="P134" s="293">
        <v>1.2664999999999999E-2</v>
      </c>
      <c r="Q134" s="290">
        <v>2.0694444444444446</v>
      </c>
      <c r="R134" s="298"/>
      <c r="S134" s="298"/>
      <c r="T134" s="298"/>
      <c r="U134" s="298"/>
      <c r="V134" s="292">
        <v>0.36000000000000004</v>
      </c>
      <c r="W134" s="294"/>
      <c r="X134" s="295">
        <v>0.3</v>
      </c>
      <c r="Y134" s="290">
        <v>6</v>
      </c>
      <c r="Z134" s="290">
        <v>2</v>
      </c>
      <c r="AA134" s="290">
        <v>1</v>
      </c>
      <c r="AB134" s="290">
        <v>0.1</v>
      </c>
      <c r="AC134" s="91"/>
      <c r="AD134" s="91"/>
      <c r="AE134" s="290"/>
      <c r="AF134" s="287"/>
    </row>
    <row r="135" spans="1:32">
      <c r="A135" s="91" t="str">
        <f t="shared" ref="A135:A182" si="2">IF(D135&gt;0,D135,A134)</f>
        <v>INDGDMTGASN1</v>
      </c>
      <c r="B135" s="131" t="s">
        <v>871</v>
      </c>
      <c r="C135" s="91"/>
      <c r="D135" s="288" t="s">
        <v>875</v>
      </c>
      <c r="E135" s="288" t="s">
        <v>876</v>
      </c>
      <c r="F135" s="91" t="s">
        <v>791</v>
      </c>
      <c r="G135" s="289" t="s">
        <v>874</v>
      </c>
      <c r="H135" s="289" t="s">
        <v>610</v>
      </c>
      <c r="I135" s="289" t="s">
        <v>792</v>
      </c>
      <c r="J135" s="290">
        <v>2020</v>
      </c>
      <c r="K135" s="290">
        <v>2020</v>
      </c>
      <c r="L135" s="292">
        <v>0.92</v>
      </c>
      <c r="M135" s="292"/>
      <c r="N135" s="290">
        <v>25</v>
      </c>
      <c r="O135" s="293">
        <v>0.40636363636363632</v>
      </c>
      <c r="P135" s="293">
        <v>1.49E-2</v>
      </c>
      <c r="Q135" s="290">
        <v>2.276388888888889</v>
      </c>
      <c r="R135" s="290">
        <v>3.1536000000000002E-2</v>
      </c>
      <c r="S135" s="292">
        <v>0.5</v>
      </c>
      <c r="T135" s="292">
        <v>0.97</v>
      </c>
      <c r="U135" s="297"/>
      <c r="V135" s="292">
        <v>0.27999999999999997</v>
      </c>
      <c r="W135" s="294"/>
      <c r="X135" s="295">
        <v>0.3</v>
      </c>
      <c r="Y135" s="290">
        <v>9</v>
      </c>
      <c r="Z135" s="290">
        <v>3</v>
      </c>
      <c r="AA135" s="290">
        <v>1</v>
      </c>
      <c r="AB135" s="290">
        <v>0.1</v>
      </c>
      <c r="AC135" s="91"/>
      <c r="AD135" s="91"/>
      <c r="AE135" s="290"/>
      <c r="AF135" s="287"/>
    </row>
    <row r="136" spans="1:32">
      <c r="A136" s="91" t="str">
        <f t="shared" si="2"/>
        <v>INDGDMTGASN1</v>
      </c>
      <c r="B136" s="131" t="s">
        <v>871</v>
      </c>
      <c r="C136" s="91"/>
      <c r="D136" s="91"/>
      <c r="E136" s="288"/>
      <c r="F136" s="91"/>
      <c r="G136" s="91"/>
      <c r="H136" s="289"/>
      <c r="I136" s="289" t="s">
        <v>792</v>
      </c>
      <c r="J136" s="290">
        <v>2030</v>
      </c>
      <c r="K136" s="290"/>
      <c r="L136" s="292">
        <v>0.93</v>
      </c>
      <c r="M136" s="292"/>
      <c r="N136" s="290"/>
      <c r="O136" s="293">
        <v>0.33863636363636368</v>
      </c>
      <c r="P136" s="293">
        <v>1.4154999999999999E-2</v>
      </c>
      <c r="Q136" s="290">
        <v>2.0694444444444446</v>
      </c>
      <c r="R136" s="298"/>
      <c r="S136" s="298"/>
      <c r="T136" s="298"/>
      <c r="U136" s="298"/>
      <c r="V136" s="292">
        <v>0.26999999999999996</v>
      </c>
      <c r="W136" s="294"/>
      <c r="X136" s="295">
        <v>0.3</v>
      </c>
      <c r="Y136" s="290">
        <v>7</v>
      </c>
      <c r="Z136" s="290">
        <v>2</v>
      </c>
      <c r="AA136" s="290">
        <v>1</v>
      </c>
      <c r="AB136" s="290">
        <v>0.1</v>
      </c>
      <c r="AC136" s="91"/>
      <c r="AD136" s="91"/>
      <c r="AE136" s="290"/>
      <c r="AF136" s="287"/>
    </row>
    <row r="137" spans="1:32">
      <c r="A137" s="91" t="str">
        <f t="shared" si="2"/>
        <v>INDGDMTGASN1</v>
      </c>
      <c r="B137" s="131" t="s">
        <v>871</v>
      </c>
      <c r="C137" s="91"/>
      <c r="D137" s="91"/>
      <c r="E137" s="288"/>
      <c r="F137" s="91"/>
      <c r="G137" s="91"/>
      <c r="H137" s="289"/>
      <c r="I137" s="289" t="s">
        <v>792</v>
      </c>
      <c r="J137" s="290">
        <v>2050</v>
      </c>
      <c r="K137" s="290"/>
      <c r="L137" s="292">
        <v>0.94</v>
      </c>
      <c r="M137" s="292"/>
      <c r="N137" s="290"/>
      <c r="O137" s="293">
        <v>0.33863636363636368</v>
      </c>
      <c r="P137" s="293">
        <v>1.2664999999999999E-2</v>
      </c>
      <c r="Q137" s="290">
        <v>2.0694444444444446</v>
      </c>
      <c r="R137" s="298"/>
      <c r="S137" s="298"/>
      <c r="T137" s="298"/>
      <c r="U137" s="298"/>
      <c r="V137" s="292">
        <v>0.26000000000000006</v>
      </c>
      <c r="W137" s="294"/>
      <c r="X137" s="295">
        <v>0.3</v>
      </c>
      <c r="Y137" s="290">
        <v>6</v>
      </c>
      <c r="Z137" s="290">
        <v>2</v>
      </c>
      <c r="AA137" s="290">
        <v>1</v>
      </c>
      <c r="AB137" s="290">
        <v>0.1</v>
      </c>
      <c r="AC137" s="48"/>
      <c r="AD137" s="48"/>
      <c r="AE137" s="290"/>
      <c r="AF137" s="324"/>
    </row>
    <row r="138" spans="1:32">
      <c r="A138" s="91" t="str">
        <f t="shared" si="2"/>
        <v>INDGDRHGASN1</v>
      </c>
      <c r="B138" s="131" t="s">
        <v>871</v>
      </c>
      <c r="C138" s="91"/>
      <c r="D138" s="288" t="s">
        <v>877</v>
      </c>
      <c r="E138" s="288" t="s">
        <v>878</v>
      </c>
      <c r="F138" s="91" t="s">
        <v>791</v>
      </c>
      <c r="G138" s="289" t="s">
        <v>874</v>
      </c>
      <c r="H138" s="289" t="s">
        <v>795</v>
      </c>
      <c r="I138" s="289" t="s">
        <v>792</v>
      </c>
      <c r="J138" s="290">
        <v>2020</v>
      </c>
      <c r="K138" s="290">
        <v>2020</v>
      </c>
      <c r="L138" s="292">
        <v>0.92</v>
      </c>
      <c r="M138" s="292"/>
      <c r="N138" s="290">
        <v>25</v>
      </c>
      <c r="O138" s="293">
        <v>0.40636363636363632</v>
      </c>
      <c r="P138" s="293">
        <v>1.49E-2</v>
      </c>
      <c r="Q138" s="290">
        <v>2.276388888888889</v>
      </c>
      <c r="R138" s="290">
        <v>3.1536000000000002E-2</v>
      </c>
      <c r="S138" s="292">
        <v>0.5</v>
      </c>
      <c r="T138" s="292">
        <v>1</v>
      </c>
      <c r="U138" s="297"/>
      <c r="V138" s="292">
        <v>7.999999999999996E-2</v>
      </c>
      <c r="W138" s="294"/>
      <c r="X138" s="295">
        <v>0.3</v>
      </c>
      <c r="Y138" s="290">
        <v>9</v>
      </c>
      <c r="Z138" s="290">
        <v>3</v>
      </c>
      <c r="AA138" s="290">
        <v>1</v>
      </c>
      <c r="AB138" s="290">
        <v>0.1</v>
      </c>
      <c r="AC138" s="89"/>
      <c r="AD138" s="89"/>
      <c r="AE138" s="290"/>
      <c r="AF138" s="316"/>
    </row>
    <row r="139" spans="1:32">
      <c r="A139" s="91" t="str">
        <f t="shared" si="2"/>
        <v>INDGDRHGASN1</v>
      </c>
      <c r="B139" s="131" t="s">
        <v>871</v>
      </c>
      <c r="C139" s="91"/>
      <c r="D139" s="91"/>
      <c r="E139" s="288"/>
      <c r="F139" s="91"/>
      <c r="G139" s="91"/>
      <c r="H139" s="289"/>
      <c r="I139" s="289" t="s">
        <v>792</v>
      </c>
      <c r="J139" s="290">
        <v>2030</v>
      </c>
      <c r="K139" s="290"/>
      <c r="L139" s="292">
        <v>0.93</v>
      </c>
      <c r="M139" s="292"/>
      <c r="N139" s="290"/>
      <c r="O139" s="293">
        <v>0.33863636363636368</v>
      </c>
      <c r="P139" s="293">
        <v>1.4154999999999999E-2</v>
      </c>
      <c r="Q139" s="290">
        <v>2.0694444444444446</v>
      </c>
      <c r="R139" s="298"/>
      <c r="S139" s="298"/>
      <c r="T139" s="298"/>
      <c r="U139" s="298"/>
      <c r="V139" s="292">
        <v>6.9999999999999951E-2</v>
      </c>
      <c r="W139" s="294"/>
      <c r="X139" s="295">
        <v>0.3</v>
      </c>
      <c r="Y139" s="290">
        <v>7</v>
      </c>
      <c r="Z139" s="290">
        <v>2</v>
      </c>
      <c r="AA139" s="290">
        <v>1</v>
      </c>
      <c r="AB139" s="290">
        <v>0.1</v>
      </c>
      <c r="AC139" s="91"/>
      <c r="AD139" s="91"/>
      <c r="AE139" s="290"/>
      <c r="AF139" s="317"/>
    </row>
    <row r="140" spans="1:32">
      <c r="A140" s="91" t="str">
        <f t="shared" si="2"/>
        <v>INDGDRHGASN1</v>
      </c>
      <c r="B140" s="136" t="s">
        <v>871</v>
      </c>
      <c r="C140" s="48"/>
      <c r="D140" s="48"/>
      <c r="E140" s="325"/>
      <c r="F140" s="48"/>
      <c r="G140" s="48"/>
      <c r="H140" s="326"/>
      <c r="I140" s="326" t="s">
        <v>792</v>
      </c>
      <c r="J140" s="290">
        <v>2050</v>
      </c>
      <c r="K140" s="290"/>
      <c r="L140" s="292">
        <v>0.94</v>
      </c>
      <c r="M140" s="292"/>
      <c r="N140" s="290"/>
      <c r="O140" s="293">
        <v>0.33863636363636368</v>
      </c>
      <c r="P140" s="293">
        <v>1.2664999999999999E-2</v>
      </c>
      <c r="Q140" s="290">
        <v>2.0694444444444446</v>
      </c>
      <c r="R140" s="327"/>
      <c r="S140" s="327"/>
      <c r="T140" s="327"/>
      <c r="U140" s="327"/>
      <c r="V140" s="292">
        <v>6.0000000000000053E-2</v>
      </c>
      <c r="W140" s="328"/>
      <c r="X140" s="295">
        <v>0.3</v>
      </c>
      <c r="Y140" s="290">
        <v>6</v>
      </c>
      <c r="Z140" s="290">
        <v>2</v>
      </c>
      <c r="AA140" s="290">
        <v>1</v>
      </c>
      <c r="AB140" s="290">
        <v>0.1</v>
      </c>
      <c r="AC140" s="91"/>
      <c r="AD140" s="91"/>
      <c r="AE140" s="290"/>
      <c r="AF140" s="317"/>
    </row>
    <row r="141" spans="1:32">
      <c r="A141" s="91" t="str">
        <f t="shared" si="2"/>
        <v>INDGDMTGASN2</v>
      </c>
      <c r="B141" s="131" t="s">
        <v>871</v>
      </c>
      <c r="C141" s="91"/>
      <c r="D141" s="288" t="s">
        <v>879</v>
      </c>
      <c r="E141" s="320" t="s">
        <v>880</v>
      </c>
      <c r="F141" s="89" t="s">
        <v>791</v>
      </c>
      <c r="G141" s="289" t="s">
        <v>874</v>
      </c>
      <c r="H141" s="321" t="s">
        <v>610</v>
      </c>
      <c r="I141" s="321" t="s">
        <v>792</v>
      </c>
      <c r="J141" s="290">
        <v>2020</v>
      </c>
      <c r="K141" s="290">
        <v>2020</v>
      </c>
      <c r="L141" s="292">
        <v>1.01</v>
      </c>
      <c r="M141" s="292"/>
      <c r="N141" s="290">
        <v>25</v>
      </c>
      <c r="O141" s="293">
        <v>0.44700000000000001</v>
      </c>
      <c r="P141" s="293">
        <v>1.49E-2</v>
      </c>
      <c r="Q141" s="290">
        <v>2.276388888888889</v>
      </c>
      <c r="R141" s="290">
        <v>3.1536000000000002E-2</v>
      </c>
      <c r="S141" s="292">
        <v>0.5</v>
      </c>
      <c r="T141" s="292">
        <v>0</v>
      </c>
      <c r="U141" s="322"/>
      <c r="V141" s="292">
        <v>0.19</v>
      </c>
      <c r="W141" s="323"/>
      <c r="X141" s="295">
        <v>0.3</v>
      </c>
      <c r="Y141" s="295">
        <v>9</v>
      </c>
      <c r="Z141" s="295">
        <v>3</v>
      </c>
      <c r="AA141" s="295">
        <v>1</v>
      </c>
      <c r="AB141" s="295">
        <v>0.1</v>
      </c>
      <c r="AC141" s="91"/>
      <c r="AD141" s="91"/>
      <c r="AE141" s="290"/>
      <c r="AF141" s="317"/>
    </row>
    <row r="142" spans="1:32">
      <c r="A142" s="91" t="str">
        <f t="shared" si="2"/>
        <v>INDGDMTGASN2</v>
      </c>
      <c r="B142" s="131" t="s">
        <v>871</v>
      </c>
      <c r="C142" s="91"/>
      <c r="D142" s="91"/>
      <c r="E142" s="288"/>
      <c r="F142" s="91"/>
      <c r="G142" s="91"/>
      <c r="H142" s="289"/>
      <c r="I142" s="289" t="s">
        <v>792</v>
      </c>
      <c r="J142" s="290">
        <v>2030</v>
      </c>
      <c r="K142" s="290"/>
      <c r="L142" s="292">
        <v>1.03</v>
      </c>
      <c r="M142" s="292"/>
      <c r="N142" s="290"/>
      <c r="O142" s="293">
        <v>0.37250000000000005</v>
      </c>
      <c r="P142" s="293">
        <v>1.4154999999999999E-2</v>
      </c>
      <c r="Q142" s="290">
        <v>2.0694444444444446</v>
      </c>
      <c r="R142" s="298"/>
      <c r="S142" s="298"/>
      <c r="T142" s="298"/>
      <c r="U142" s="298"/>
      <c r="V142" s="292">
        <v>0.16999999999999998</v>
      </c>
      <c r="W142" s="294"/>
      <c r="X142" s="295">
        <v>0.3</v>
      </c>
      <c r="Y142" s="295">
        <v>7</v>
      </c>
      <c r="Z142" s="295">
        <v>2</v>
      </c>
      <c r="AA142" s="295">
        <v>1</v>
      </c>
      <c r="AB142" s="295">
        <v>0.1</v>
      </c>
      <c r="AC142" s="91"/>
      <c r="AD142" s="91"/>
      <c r="AE142" s="290"/>
      <c r="AF142" s="317"/>
    </row>
    <row r="143" spans="1:32">
      <c r="A143" s="91" t="str">
        <f t="shared" si="2"/>
        <v>INDGDMTGASN2</v>
      </c>
      <c r="B143" s="131" t="s">
        <v>871</v>
      </c>
      <c r="C143" s="91"/>
      <c r="D143" s="91"/>
      <c r="E143" s="288"/>
      <c r="F143" s="91"/>
      <c r="G143" s="91"/>
      <c r="H143" s="289"/>
      <c r="I143" s="289" t="s">
        <v>792</v>
      </c>
      <c r="J143" s="290">
        <v>2050</v>
      </c>
      <c r="K143" s="290"/>
      <c r="L143" s="292">
        <v>1.03</v>
      </c>
      <c r="M143" s="292"/>
      <c r="N143" s="290"/>
      <c r="O143" s="293">
        <v>0.37250000000000005</v>
      </c>
      <c r="P143" s="293">
        <v>1.2664999999999999E-2</v>
      </c>
      <c r="Q143" s="290">
        <v>2.0694444444444446</v>
      </c>
      <c r="R143" s="298"/>
      <c r="S143" s="298"/>
      <c r="T143" s="298"/>
      <c r="U143" s="298"/>
      <c r="V143" s="292">
        <v>0.16999999999999998</v>
      </c>
      <c r="W143" s="294"/>
      <c r="X143" s="295">
        <v>0.3</v>
      </c>
      <c r="Y143" s="295">
        <v>6</v>
      </c>
      <c r="Z143" s="295">
        <v>2</v>
      </c>
      <c r="AA143" s="295">
        <v>1</v>
      </c>
      <c r="AB143" s="295">
        <v>0.1</v>
      </c>
      <c r="AC143" s="48"/>
      <c r="AD143" s="48"/>
      <c r="AE143" s="290"/>
      <c r="AF143" s="324"/>
    </row>
    <row r="144" spans="1:32">
      <c r="A144" s="91" t="str">
        <f t="shared" si="2"/>
        <v>INDGDRHGASN2</v>
      </c>
      <c r="B144" s="131" t="s">
        <v>871</v>
      </c>
      <c r="C144" s="91"/>
      <c r="D144" s="288" t="s">
        <v>881</v>
      </c>
      <c r="E144" s="288" t="s">
        <v>882</v>
      </c>
      <c r="F144" s="91" t="s">
        <v>791</v>
      </c>
      <c r="G144" s="289" t="s">
        <v>874</v>
      </c>
      <c r="H144" s="289" t="s">
        <v>795</v>
      </c>
      <c r="I144" s="289" t="s">
        <v>792</v>
      </c>
      <c r="J144" s="290">
        <v>2020</v>
      </c>
      <c r="K144" s="290">
        <v>2020</v>
      </c>
      <c r="L144" s="292">
        <v>1.01</v>
      </c>
      <c r="M144" s="292"/>
      <c r="N144" s="290">
        <v>25</v>
      </c>
      <c r="O144" s="293">
        <v>0.44700000000000001</v>
      </c>
      <c r="P144" s="293">
        <v>1.49E-2</v>
      </c>
      <c r="Q144" s="290">
        <v>2.276388888888889</v>
      </c>
      <c r="R144" s="290">
        <v>3.1536000000000002E-2</v>
      </c>
      <c r="S144" s="292">
        <v>0.5</v>
      </c>
      <c r="T144" s="292">
        <v>0</v>
      </c>
      <c r="U144" s="297"/>
      <c r="V144" s="292">
        <v>-1.0000000000000009E-2</v>
      </c>
      <c r="W144" s="294"/>
      <c r="X144" s="295">
        <v>0.3</v>
      </c>
      <c r="Y144" s="295">
        <v>9</v>
      </c>
      <c r="Z144" s="295">
        <v>3</v>
      </c>
      <c r="AA144" s="295">
        <v>1</v>
      </c>
      <c r="AB144" s="295">
        <v>0.1</v>
      </c>
      <c r="AC144" s="89"/>
      <c r="AD144" s="89"/>
      <c r="AE144" s="290"/>
      <c r="AF144" s="316"/>
    </row>
    <row r="145" spans="1:32">
      <c r="A145" s="91" t="str">
        <f t="shared" si="2"/>
        <v>INDGDRHGASN2</v>
      </c>
      <c r="B145" s="131" t="s">
        <v>871</v>
      </c>
      <c r="C145" s="91"/>
      <c r="D145" s="91"/>
      <c r="E145" s="288"/>
      <c r="F145" s="91"/>
      <c r="G145" s="91"/>
      <c r="H145" s="289"/>
      <c r="I145" s="289" t="s">
        <v>792</v>
      </c>
      <c r="J145" s="290">
        <v>2030</v>
      </c>
      <c r="K145" s="290"/>
      <c r="L145" s="292">
        <v>1.03</v>
      </c>
      <c r="M145" s="292"/>
      <c r="N145" s="290"/>
      <c r="O145" s="293">
        <v>0.37250000000000005</v>
      </c>
      <c r="P145" s="293">
        <v>1.4154999999999999E-2</v>
      </c>
      <c r="Q145" s="290">
        <v>2.0694444444444446</v>
      </c>
      <c r="R145" s="298"/>
      <c r="S145" s="298"/>
      <c r="T145" s="298"/>
      <c r="U145" s="298"/>
      <c r="V145" s="292">
        <v>-3.0000000000000027E-2</v>
      </c>
      <c r="W145" s="294"/>
      <c r="X145" s="295">
        <v>0.3</v>
      </c>
      <c r="Y145" s="295">
        <v>7</v>
      </c>
      <c r="Z145" s="295">
        <v>2</v>
      </c>
      <c r="AA145" s="295">
        <v>1</v>
      </c>
      <c r="AB145" s="295">
        <v>0.1</v>
      </c>
      <c r="AC145" s="91"/>
      <c r="AD145" s="91"/>
      <c r="AE145" s="290"/>
      <c r="AF145" s="317"/>
    </row>
    <row r="146" spans="1:32">
      <c r="A146" s="91" t="str">
        <f t="shared" si="2"/>
        <v>INDGDRHGASN2</v>
      </c>
      <c r="B146" s="136" t="s">
        <v>871</v>
      </c>
      <c r="C146" s="48"/>
      <c r="D146" s="48"/>
      <c r="E146" s="325"/>
      <c r="F146" s="48"/>
      <c r="G146" s="48"/>
      <c r="H146" s="326"/>
      <c r="I146" s="326" t="s">
        <v>792</v>
      </c>
      <c r="J146" s="290">
        <v>2050</v>
      </c>
      <c r="K146" s="290"/>
      <c r="L146" s="292">
        <v>1.03</v>
      </c>
      <c r="M146" s="292"/>
      <c r="N146" s="290"/>
      <c r="O146" s="293">
        <v>0.37250000000000005</v>
      </c>
      <c r="P146" s="293">
        <v>1.2664999999999999E-2</v>
      </c>
      <c r="Q146" s="290">
        <v>2.0694444444444446</v>
      </c>
      <c r="R146" s="327"/>
      <c r="S146" s="327"/>
      <c r="T146" s="327"/>
      <c r="U146" s="327"/>
      <c r="V146" s="292">
        <v>-3.0000000000000027E-2</v>
      </c>
      <c r="W146" s="328"/>
      <c r="X146" s="295">
        <v>0.3</v>
      </c>
      <c r="Y146" s="295">
        <v>6</v>
      </c>
      <c r="Z146" s="295">
        <v>2</v>
      </c>
      <c r="AA146" s="295">
        <v>1</v>
      </c>
      <c r="AB146" s="295">
        <v>0.1</v>
      </c>
      <c r="AC146" s="91"/>
      <c r="AD146" s="91"/>
      <c r="AE146" s="290"/>
      <c r="AF146" s="317"/>
    </row>
    <row r="147" spans="1:32">
      <c r="A147" s="91" t="str">
        <f t="shared" si="2"/>
        <v>INDGDMTGASN3</v>
      </c>
      <c r="B147" s="131" t="s">
        <v>871</v>
      </c>
      <c r="C147" s="91"/>
      <c r="D147" s="288" t="s">
        <v>883</v>
      </c>
      <c r="E147" s="320" t="s">
        <v>884</v>
      </c>
      <c r="F147" s="89" t="s">
        <v>791</v>
      </c>
      <c r="G147" s="289" t="s">
        <v>874</v>
      </c>
      <c r="H147" s="321" t="s">
        <v>610</v>
      </c>
      <c r="I147" s="321" t="s">
        <v>792</v>
      </c>
      <c r="J147" s="290">
        <v>2020</v>
      </c>
      <c r="K147" s="290">
        <v>2020</v>
      </c>
      <c r="L147" s="292">
        <v>0.93</v>
      </c>
      <c r="M147" s="292"/>
      <c r="N147" s="290">
        <v>25</v>
      </c>
      <c r="O147" s="293">
        <v>0.3250909090909091</v>
      </c>
      <c r="P147" s="293">
        <v>1.49E-2</v>
      </c>
      <c r="Q147" s="290">
        <v>2.276388888888889</v>
      </c>
      <c r="R147" s="290">
        <v>3.1536000000000002E-2</v>
      </c>
      <c r="S147" s="292">
        <v>0.5</v>
      </c>
      <c r="T147" s="292">
        <v>0.5</v>
      </c>
      <c r="U147" s="322"/>
      <c r="V147" s="292">
        <v>0.26999999999999996</v>
      </c>
      <c r="W147" s="323"/>
      <c r="X147" s="295">
        <v>0.3</v>
      </c>
      <c r="Y147" s="295">
        <v>9</v>
      </c>
      <c r="Z147" s="295">
        <v>3</v>
      </c>
      <c r="AA147" s="295">
        <v>1</v>
      </c>
      <c r="AB147" s="295">
        <v>0.1</v>
      </c>
      <c r="AC147" s="91"/>
      <c r="AD147" s="91"/>
      <c r="AE147" s="290"/>
      <c r="AF147" s="317"/>
    </row>
    <row r="148" spans="1:32">
      <c r="A148" s="91" t="str">
        <f t="shared" si="2"/>
        <v>INDGDMTGASN3</v>
      </c>
      <c r="B148" s="131" t="s">
        <v>871</v>
      </c>
      <c r="C148" s="91"/>
      <c r="D148" s="91"/>
      <c r="E148" s="288"/>
      <c r="F148" s="91"/>
      <c r="G148" s="91"/>
      <c r="H148" s="289"/>
      <c r="I148" s="289" t="s">
        <v>792</v>
      </c>
      <c r="J148" s="290">
        <v>2030</v>
      </c>
      <c r="K148" s="290"/>
      <c r="L148" s="292">
        <v>0.94</v>
      </c>
      <c r="M148" s="292"/>
      <c r="N148" s="290"/>
      <c r="O148" s="293">
        <v>0.27090909090909093</v>
      </c>
      <c r="P148" s="293">
        <v>1.4154999999999999E-2</v>
      </c>
      <c r="Q148" s="290">
        <v>2.0694444444444446</v>
      </c>
      <c r="R148" s="298"/>
      <c r="S148" s="298"/>
      <c r="T148" s="298"/>
      <c r="U148" s="298"/>
      <c r="V148" s="292">
        <v>0.26000000000000006</v>
      </c>
      <c r="W148" s="294"/>
      <c r="X148" s="295">
        <v>0.3</v>
      </c>
      <c r="Y148" s="295">
        <v>7</v>
      </c>
      <c r="Z148" s="295">
        <v>2</v>
      </c>
      <c r="AA148" s="295">
        <v>1</v>
      </c>
      <c r="AB148" s="295">
        <v>0.1</v>
      </c>
      <c r="AC148" s="91"/>
      <c r="AD148" s="91"/>
      <c r="AE148" s="290"/>
      <c r="AF148" s="317"/>
    </row>
    <row r="149" spans="1:32">
      <c r="A149" s="91" t="str">
        <f t="shared" si="2"/>
        <v>INDGDMTGASN3</v>
      </c>
      <c r="B149" s="131" t="s">
        <v>871</v>
      </c>
      <c r="C149" s="91"/>
      <c r="D149" s="91"/>
      <c r="E149" s="288"/>
      <c r="F149" s="91"/>
      <c r="G149" s="91"/>
      <c r="H149" s="289"/>
      <c r="I149" s="289" t="s">
        <v>792</v>
      </c>
      <c r="J149" s="290">
        <v>2050</v>
      </c>
      <c r="K149" s="290"/>
      <c r="L149" s="292">
        <v>0.95</v>
      </c>
      <c r="M149" s="292"/>
      <c r="N149" s="290"/>
      <c r="O149" s="293">
        <v>0.27090909090909093</v>
      </c>
      <c r="P149" s="293">
        <v>1.2664999999999999E-2</v>
      </c>
      <c r="Q149" s="290">
        <v>2.0694444444444446</v>
      </c>
      <c r="R149" s="298"/>
      <c r="S149" s="298"/>
      <c r="T149" s="298"/>
      <c r="U149" s="298"/>
      <c r="V149" s="292">
        <v>0.25000000000000006</v>
      </c>
      <c r="W149" s="330"/>
      <c r="X149" s="295">
        <v>0.3</v>
      </c>
      <c r="Y149" s="295">
        <v>6</v>
      </c>
      <c r="Z149" s="295">
        <v>2</v>
      </c>
      <c r="AA149" s="295">
        <v>1</v>
      </c>
      <c r="AB149" s="295">
        <v>0.1</v>
      </c>
      <c r="AC149" s="48"/>
      <c r="AD149" s="48"/>
      <c r="AE149" s="290"/>
      <c r="AF149" s="324"/>
    </row>
    <row r="150" spans="1:32">
      <c r="A150" s="91" t="str">
        <f t="shared" si="2"/>
        <v>INDGDRHGASN3</v>
      </c>
      <c r="B150" s="131" t="s">
        <v>871</v>
      </c>
      <c r="C150" s="91"/>
      <c r="D150" s="288" t="s">
        <v>885</v>
      </c>
      <c r="E150" s="288" t="s">
        <v>886</v>
      </c>
      <c r="F150" s="91" t="s">
        <v>791</v>
      </c>
      <c r="G150" s="289" t="s">
        <v>874</v>
      </c>
      <c r="H150" s="289" t="s">
        <v>795</v>
      </c>
      <c r="I150" s="289" t="s">
        <v>792</v>
      </c>
      <c r="J150" s="290">
        <v>2020</v>
      </c>
      <c r="K150" s="290">
        <v>2020</v>
      </c>
      <c r="L150" s="292">
        <v>0.93</v>
      </c>
      <c r="M150" s="292"/>
      <c r="N150" s="290">
        <v>25</v>
      </c>
      <c r="O150" s="293">
        <v>0.3250909090909091</v>
      </c>
      <c r="P150" s="293">
        <v>1.49E-2</v>
      </c>
      <c r="Q150" s="290">
        <v>2.276388888888889</v>
      </c>
      <c r="R150" s="290">
        <v>3.1536000000000002E-2</v>
      </c>
      <c r="S150" s="292">
        <v>0.5</v>
      </c>
      <c r="T150" s="292">
        <v>1</v>
      </c>
      <c r="U150" s="297"/>
      <c r="V150" s="292">
        <v>6.9999999999999951E-2</v>
      </c>
      <c r="W150" s="294"/>
      <c r="X150" s="295">
        <v>0.3</v>
      </c>
      <c r="Y150" s="295">
        <v>9</v>
      </c>
      <c r="Z150" s="295">
        <v>3</v>
      </c>
      <c r="AA150" s="295">
        <v>1</v>
      </c>
      <c r="AB150" s="295">
        <v>0.1</v>
      </c>
      <c r="AC150" s="89"/>
      <c r="AD150" s="89"/>
      <c r="AE150" s="290"/>
      <c r="AF150" s="316"/>
    </row>
    <row r="151" spans="1:32">
      <c r="A151" s="91" t="str">
        <f t="shared" si="2"/>
        <v>INDGDRHGASN3</v>
      </c>
      <c r="B151" s="131" t="s">
        <v>871</v>
      </c>
      <c r="C151" s="91"/>
      <c r="D151" s="91"/>
      <c r="E151" s="288"/>
      <c r="F151" s="91"/>
      <c r="G151" s="91"/>
      <c r="H151" s="289"/>
      <c r="I151" s="289" t="s">
        <v>792</v>
      </c>
      <c r="J151" s="290">
        <v>2030</v>
      </c>
      <c r="K151" s="290"/>
      <c r="L151" s="292">
        <v>0.94</v>
      </c>
      <c r="M151" s="292"/>
      <c r="N151" s="290"/>
      <c r="O151" s="293">
        <v>0.27090909090909093</v>
      </c>
      <c r="P151" s="293">
        <v>1.4154999999999999E-2</v>
      </c>
      <c r="Q151" s="290">
        <v>2.0694444444444446</v>
      </c>
      <c r="R151" s="298"/>
      <c r="S151" s="298"/>
      <c r="T151" s="298"/>
      <c r="U151" s="298"/>
      <c r="V151" s="292">
        <v>6.0000000000000053E-2</v>
      </c>
      <c r="W151" s="294"/>
      <c r="X151" s="295">
        <v>0.3</v>
      </c>
      <c r="Y151" s="295">
        <v>7</v>
      </c>
      <c r="Z151" s="295">
        <v>2</v>
      </c>
      <c r="AA151" s="295">
        <v>1</v>
      </c>
      <c r="AB151" s="295">
        <v>0.1</v>
      </c>
      <c r="AC151" s="91"/>
      <c r="AD151" s="91"/>
      <c r="AE151" s="290"/>
      <c r="AF151" s="317"/>
    </row>
    <row r="152" spans="1:32">
      <c r="A152" s="91" t="str">
        <f t="shared" si="2"/>
        <v>INDGDRHGASN3</v>
      </c>
      <c r="B152" s="136" t="s">
        <v>871</v>
      </c>
      <c r="C152" s="48"/>
      <c r="D152" s="48"/>
      <c r="E152" s="325"/>
      <c r="F152" s="48"/>
      <c r="G152" s="48"/>
      <c r="H152" s="326"/>
      <c r="I152" s="326" t="s">
        <v>792</v>
      </c>
      <c r="J152" s="290">
        <v>2050</v>
      </c>
      <c r="K152" s="290"/>
      <c r="L152" s="292">
        <v>0.95</v>
      </c>
      <c r="M152" s="292"/>
      <c r="N152" s="290"/>
      <c r="O152" s="293">
        <v>0.27090909090909093</v>
      </c>
      <c r="P152" s="293">
        <v>1.2664999999999999E-2</v>
      </c>
      <c r="Q152" s="290">
        <v>2.0694444444444446</v>
      </c>
      <c r="R152" s="298"/>
      <c r="S152" s="298"/>
      <c r="T152" s="298"/>
      <c r="U152" s="298"/>
      <c r="V152" s="292">
        <v>5.0000000000000044E-2</v>
      </c>
      <c r="W152" s="294"/>
      <c r="X152" s="295">
        <v>0.3</v>
      </c>
      <c r="Y152" s="295">
        <v>6</v>
      </c>
      <c r="Z152" s="295">
        <v>2</v>
      </c>
      <c r="AA152" s="295">
        <v>1</v>
      </c>
      <c r="AB152" s="295">
        <v>0.1</v>
      </c>
      <c r="AC152" s="91"/>
      <c r="AD152" s="91"/>
      <c r="AE152" s="290"/>
      <c r="AF152" s="317"/>
    </row>
    <row r="153" spans="1:32">
      <c r="A153" s="91" t="str">
        <f t="shared" si="2"/>
        <v>INDGDMTGASN4</v>
      </c>
      <c r="B153" s="131" t="s">
        <v>871</v>
      </c>
      <c r="C153" s="91"/>
      <c r="D153" s="288" t="s">
        <v>887</v>
      </c>
      <c r="E153" s="320" t="s">
        <v>888</v>
      </c>
      <c r="F153" s="89" t="s">
        <v>791</v>
      </c>
      <c r="G153" s="289" t="s">
        <v>874</v>
      </c>
      <c r="H153" s="321" t="s">
        <v>610</v>
      </c>
      <c r="I153" s="321" t="s">
        <v>792</v>
      </c>
      <c r="J153" s="290">
        <v>2020</v>
      </c>
      <c r="K153" s="290">
        <v>2020</v>
      </c>
      <c r="L153" s="292">
        <v>1.01</v>
      </c>
      <c r="M153" s="292"/>
      <c r="N153" s="290">
        <v>25</v>
      </c>
      <c r="O153" s="293">
        <v>0.35760000000000003</v>
      </c>
      <c r="P153" s="293">
        <v>1.49E-2</v>
      </c>
      <c r="Q153" s="290">
        <v>2.276388888888889</v>
      </c>
      <c r="R153" s="290">
        <v>3.1536000000000002E-2</v>
      </c>
      <c r="S153" s="292">
        <v>0.5</v>
      </c>
      <c r="T153" s="292">
        <v>0</v>
      </c>
      <c r="U153" s="322"/>
      <c r="V153" s="292">
        <v>0.19</v>
      </c>
      <c r="W153" s="323"/>
      <c r="X153" s="295">
        <v>0.3</v>
      </c>
      <c r="Y153" s="295">
        <v>9</v>
      </c>
      <c r="Z153" s="295">
        <v>3</v>
      </c>
      <c r="AA153" s="295">
        <v>1</v>
      </c>
      <c r="AB153" s="295">
        <v>0.1</v>
      </c>
      <c r="AC153" s="91"/>
      <c r="AD153" s="91"/>
      <c r="AE153" s="290"/>
      <c r="AF153" s="317"/>
    </row>
    <row r="154" spans="1:32">
      <c r="A154" s="91" t="str">
        <f t="shared" si="2"/>
        <v>INDGDMTGASN4</v>
      </c>
      <c r="B154" s="131" t="s">
        <v>871</v>
      </c>
      <c r="C154" s="91"/>
      <c r="D154" s="91"/>
      <c r="E154" s="288"/>
      <c r="F154" s="91"/>
      <c r="G154" s="91"/>
      <c r="H154" s="289"/>
      <c r="I154" s="289" t="s">
        <v>792</v>
      </c>
      <c r="J154" s="290">
        <v>2030</v>
      </c>
      <c r="K154" s="290"/>
      <c r="L154" s="292">
        <v>1.03</v>
      </c>
      <c r="M154" s="292"/>
      <c r="N154" s="290"/>
      <c r="O154" s="293">
        <v>0.29800000000000004</v>
      </c>
      <c r="P154" s="293">
        <v>1.4154999999999999E-2</v>
      </c>
      <c r="Q154" s="290">
        <v>2.0694444444444446</v>
      </c>
      <c r="R154" s="298"/>
      <c r="S154" s="298"/>
      <c r="T154" s="298"/>
      <c r="U154" s="298"/>
      <c r="V154" s="292">
        <v>0.16999999999999998</v>
      </c>
      <c r="W154" s="294"/>
      <c r="X154" s="295">
        <v>0.3</v>
      </c>
      <c r="Y154" s="295">
        <v>7</v>
      </c>
      <c r="Z154" s="295">
        <v>2</v>
      </c>
      <c r="AA154" s="295">
        <v>1</v>
      </c>
      <c r="AB154" s="295">
        <v>0.1</v>
      </c>
      <c r="AC154" s="91"/>
      <c r="AD154" s="91"/>
      <c r="AE154" s="290"/>
      <c r="AF154" s="317"/>
    </row>
    <row r="155" spans="1:32">
      <c r="A155" s="91" t="str">
        <f t="shared" si="2"/>
        <v>INDGDMTGASN4</v>
      </c>
      <c r="B155" s="131" t="s">
        <v>871</v>
      </c>
      <c r="C155" s="91"/>
      <c r="D155" s="91"/>
      <c r="E155" s="288"/>
      <c r="F155" s="91"/>
      <c r="G155" s="91"/>
      <c r="H155" s="289"/>
      <c r="I155" s="289" t="s">
        <v>792</v>
      </c>
      <c r="J155" s="290">
        <v>2050</v>
      </c>
      <c r="K155" s="290"/>
      <c r="L155" s="292">
        <v>1.03</v>
      </c>
      <c r="M155" s="292"/>
      <c r="N155" s="290"/>
      <c r="O155" s="293">
        <v>0.29800000000000004</v>
      </c>
      <c r="P155" s="293">
        <v>1.2664999999999999E-2</v>
      </c>
      <c r="Q155" s="290">
        <v>2.0694444444444446</v>
      </c>
      <c r="R155" s="298"/>
      <c r="S155" s="298"/>
      <c r="T155" s="298"/>
      <c r="U155" s="298"/>
      <c r="V155" s="292">
        <v>0.16999999999999998</v>
      </c>
      <c r="W155" s="294"/>
      <c r="X155" s="295">
        <v>0.3</v>
      </c>
      <c r="Y155" s="295">
        <v>6</v>
      </c>
      <c r="Z155" s="295">
        <v>2</v>
      </c>
      <c r="AA155" s="295">
        <v>1</v>
      </c>
      <c r="AB155" s="295">
        <v>0.1</v>
      </c>
      <c r="AC155" s="48"/>
      <c r="AD155" s="48"/>
      <c r="AE155" s="290"/>
      <c r="AF155" s="324"/>
    </row>
    <row r="156" spans="1:32">
      <c r="A156" s="91" t="str">
        <f t="shared" si="2"/>
        <v>INDGDRHGASN4</v>
      </c>
      <c r="B156" s="131" t="s">
        <v>871</v>
      </c>
      <c r="C156" s="91"/>
      <c r="D156" s="288" t="s">
        <v>889</v>
      </c>
      <c r="E156" s="288" t="s">
        <v>890</v>
      </c>
      <c r="F156" s="91" t="s">
        <v>791</v>
      </c>
      <c r="G156" s="289" t="s">
        <v>874</v>
      </c>
      <c r="H156" s="289" t="s">
        <v>795</v>
      </c>
      <c r="I156" s="289" t="s">
        <v>792</v>
      </c>
      <c r="J156" s="290">
        <v>2020</v>
      </c>
      <c r="K156" s="290">
        <v>2020</v>
      </c>
      <c r="L156" s="292">
        <v>1.01</v>
      </c>
      <c r="M156" s="292"/>
      <c r="N156" s="290">
        <v>25</v>
      </c>
      <c r="O156" s="293">
        <v>0.35760000000000003</v>
      </c>
      <c r="P156" s="293">
        <v>1.49E-2</v>
      </c>
      <c r="Q156" s="290">
        <v>2.276388888888889</v>
      </c>
      <c r="R156" s="290">
        <v>3.1536000000000002E-2</v>
      </c>
      <c r="S156" s="292">
        <v>0.5</v>
      </c>
      <c r="T156" s="292">
        <v>0</v>
      </c>
      <c r="U156" s="322"/>
      <c r="V156" s="292">
        <v>-1.0000000000000009E-2</v>
      </c>
      <c r="W156" s="323"/>
      <c r="X156" s="295">
        <v>0.3</v>
      </c>
      <c r="Y156" s="295">
        <v>9</v>
      </c>
      <c r="Z156" s="295">
        <v>3</v>
      </c>
      <c r="AA156" s="295">
        <v>1</v>
      </c>
      <c r="AB156" s="295">
        <v>0.1</v>
      </c>
      <c r="AC156" s="89"/>
      <c r="AD156" s="89"/>
      <c r="AE156" s="290"/>
      <c r="AF156" s="316"/>
    </row>
    <row r="157" spans="1:32">
      <c r="A157" s="91" t="str">
        <f t="shared" si="2"/>
        <v>INDGDRHGASN4</v>
      </c>
      <c r="B157" s="131" t="s">
        <v>871</v>
      </c>
      <c r="C157" s="91"/>
      <c r="D157" s="91"/>
      <c r="E157" s="288"/>
      <c r="F157" s="91"/>
      <c r="G157" s="91"/>
      <c r="H157" s="289"/>
      <c r="I157" s="289" t="s">
        <v>792</v>
      </c>
      <c r="J157" s="290">
        <v>2030</v>
      </c>
      <c r="K157" s="290"/>
      <c r="L157" s="292">
        <v>1.03</v>
      </c>
      <c r="M157" s="292"/>
      <c r="N157" s="290"/>
      <c r="O157" s="293">
        <v>0.29800000000000004</v>
      </c>
      <c r="P157" s="293">
        <v>1.4154999999999999E-2</v>
      </c>
      <c r="Q157" s="290">
        <v>2.0694444444444446</v>
      </c>
      <c r="R157" s="298"/>
      <c r="S157" s="298"/>
      <c r="T157" s="298"/>
      <c r="U157" s="298"/>
      <c r="V157" s="292">
        <v>-3.0000000000000027E-2</v>
      </c>
      <c r="W157" s="294"/>
      <c r="X157" s="295">
        <v>0.3</v>
      </c>
      <c r="Y157" s="295">
        <v>7</v>
      </c>
      <c r="Z157" s="295">
        <v>2</v>
      </c>
      <c r="AA157" s="295">
        <v>1</v>
      </c>
      <c r="AB157" s="295">
        <v>0.1</v>
      </c>
      <c r="AC157" s="91"/>
      <c r="AD157" s="91"/>
      <c r="AE157" s="290"/>
      <c r="AF157" s="317"/>
    </row>
    <row r="158" spans="1:32">
      <c r="A158" s="91" t="str">
        <f t="shared" si="2"/>
        <v>INDGDRHGASN4</v>
      </c>
      <c r="B158" s="136" t="s">
        <v>871</v>
      </c>
      <c r="C158" s="48"/>
      <c r="D158" s="325"/>
      <c r="E158" s="325"/>
      <c r="F158" s="48"/>
      <c r="G158" s="48"/>
      <c r="H158" s="326"/>
      <c r="I158" s="326" t="s">
        <v>792</v>
      </c>
      <c r="J158" s="290">
        <v>2050</v>
      </c>
      <c r="K158" s="290"/>
      <c r="L158" s="292">
        <v>1.03</v>
      </c>
      <c r="M158" s="292"/>
      <c r="N158" s="290"/>
      <c r="O158" s="293">
        <v>0.29800000000000004</v>
      </c>
      <c r="P158" s="293">
        <v>1.2664999999999999E-2</v>
      </c>
      <c r="Q158" s="290">
        <v>2.0694444444444446</v>
      </c>
      <c r="R158" s="298"/>
      <c r="S158" s="298"/>
      <c r="T158" s="298"/>
      <c r="U158" s="298"/>
      <c r="V158" s="292">
        <v>-3.0000000000000027E-2</v>
      </c>
      <c r="W158" s="329"/>
      <c r="X158" s="295">
        <v>0.3</v>
      </c>
      <c r="Y158" s="295">
        <v>6</v>
      </c>
      <c r="Z158" s="295">
        <v>2</v>
      </c>
      <c r="AA158" s="295">
        <v>1</v>
      </c>
      <c r="AB158" s="295">
        <v>0.1</v>
      </c>
      <c r="AC158" s="91"/>
      <c r="AD158" s="91"/>
      <c r="AE158" s="290"/>
      <c r="AF158" s="317"/>
    </row>
    <row r="159" spans="1:32">
      <c r="A159" s="91" t="str">
        <f t="shared" si="2"/>
        <v>INDGDHTGASN5</v>
      </c>
      <c r="B159" s="131" t="s">
        <v>871</v>
      </c>
      <c r="C159" s="91"/>
      <c r="D159" s="288" t="s">
        <v>891</v>
      </c>
      <c r="E159" s="320" t="s">
        <v>892</v>
      </c>
      <c r="F159" s="89" t="s">
        <v>791</v>
      </c>
      <c r="G159" s="289" t="s">
        <v>874</v>
      </c>
      <c r="H159" s="289" t="s">
        <v>609</v>
      </c>
      <c r="I159" s="289" t="s">
        <v>792</v>
      </c>
      <c r="J159" s="290">
        <v>2020</v>
      </c>
      <c r="K159" s="290">
        <v>2020</v>
      </c>
      <c r="L159" s="292">
        <v>1</v>
      </c>
      <c r="M159" s="292"/>
      <c r="N159" s="290">
        <v>15</v>
      </c>
      <c r="O159" s="293">
        <v>0.11175</v>
      </c>
      <c r="P159" s="293">
        <v>1.3545454545454561E-3</v>
      </c>
      <c r="Q159" s="290">
        <v>0.58461805555555546</v>
      </c>
      <c r="R159" s="290">
        <v>3.1536000000000002E-2</v>
      </c>
      <c r="S159" s="292">
        <v>0.5</v>
      </c>
      <c r="T159" s="292">
        <v>1</v>
      </c>
      <c r="U159" s="322"/>
      <c r="V159" s="292">
        <v>0.3</v>
      </c>
      <c r="W159" s="323"/>
      <c r="X159" s="295">
        <v>0.3</v>
      </c>
      <c r="Y159" s="295">
        <v>9</v>
      </c>
      <c r="Z159" s="295">
        <v>3</v>
      </c>
      <c r="AA159" s="295">
        <v>1</v>
      </c>
      <c r="AB159" s="295">
        <v>0.1</v>
      </c>
      <c r="AC159" s="91"/>
      <c r="AD159" s="91"/>
      <c r="AE159" s="290"/>
      <c r="AF159" s="317"/>
    </row>
    <row r="160" spans="1:32">
      <c r="A160" s="91" t="str">
        <f t="shared" si="2"/>
        <v>INDGDHTGASN5</v>
      </c>
      <c r="B160" s="131" t="s">
        <v>871</v>
      </c>
      <c r="C160" s="91"/>
      <c r="D160" s="91"/>
      <c r="E160" s="288"/>
      <c r="F160" s="91"/>
      <c r="G160" s="91"/>
      <c r="H160" s="289"/>
      <c r="I160" s="289" t="s">
        <v>792</v>
      </c>
      <c r="J160" s="290">
        <v>2030</v>
      </c>
      <c r="K160" s="290"/>
      <c r="L160" s="292">
        <v>1</v>
      </c>
      <c r="M160" s="292"/>
      <c r="N160" s="290"/>
      <c r="O160" s="293">
        <v>0.11175</v>
      </c>
      <c r="P160" s="293">
        <v>1.3206818181818161E-3</v>
      </c>
      <c r="Q160" s="290">
        <v>0.5742708333333334</v>
      </c>
      <c r="R160" s="298"/>
      <c r="S160" s="298"/>
      <c r="T160" s="298"/>
      <c r="U160" s="298"/>
      <c r="V160" s="292">
        <v>0.3</v>
      </c>
      <c r="W160" s="294"/>
      <c r="X160" s="295">
        <v>0.3</v>
      </c>
      <c r="Y160" s="295">
        <v>7</v>
      </c>
      <c r="Z160" s="295">
        <v>2</v>
      </c>
      <c r="AA160" s="295">
        <v>1</v>
      </c>
      <c r="AB160" s="295">
        <v>0.1</v>
      </c>
      <c r="AC160" s="91"/>
      <c r="AD160" s="91"/>
      <c r="AE160" s="290"/>
      <c r="AF160" s="317"/>
    </row>
    <row r="161" spans="1:32">
      <c r="A161" s="91" t="str">
        <f t="shared" si="2"/>
        <v>INDGDHTGASN5</v>
      </c>
      <c r="B161" s="131" t="s">
        <v>871</v>
      </c>
      <c r="C161" s="91"/>
      <c r="D161" s="91"/>
      <c r="E161" s="288"/>
      <c r="F161" s="91"/>
      <c r="G161" s="91"/>
      <c r="H161" s="289"/>
      <c r="I161" s="289" t="s">
        <v>792</v>
      </c>
      <c r="J161" s="290">
        <v>2050</v>
      </c>
      <c r="K161" s="290"/>
      <c r="L161" s="292">
        <v>1</v>
      </c>
      <c r="M161" s="292"/>
      <c r="N161" s="290"/>
      <c r="O161" s="293">
        <v>0.11175</v>
      </c>
      <c r="P161" s="293">
        <v>1.1513636363636396E-3</v>
      </c>
      <c r="Q161" s="290">
        <v>0.57944444444444443</v>
      </c>
      <c r="R161" s="298"/>
      <c r="S161" s="298"/>
      <c r="T161" s="298"/>
      <c r="U161" s="298"/>
      <c r="V161" s="292">
        <v>0.3</v>
      </c>
      <c r="W161" s="294"/>
      <c r="X161" s="295">
        <v>0.3</v>
      </c>
      <c r="Y161" s="295">
        <v>6</v>
      </c>
      <c r="Z161" s="295">
        <v>2</v>
      </c>
      <c r="AA161" s="295">
        <v>1</v>
      </c>
      <c r="AB161" s="295">
        <v>0.1</v>
      </c>
      <c r="AC161" s="48"/>
      <c r="AD161" s="48"/>
      <c r="AE161" s="290"/>
      <c r="AF161" s="317"/>
    </row>
    <row r="162" spans="1:32">
      <c r="A162" s="91" t="str">
        <f t="shared" si="2"/>
        <v>INDGDMTGASN5</v>
      </c>
      <c r="B162" s="131" t="s">
        <v>871</v>
      </c>
      <c r="C162" s="91"/>
      <c r="D162" s="288" t="s">
        <v>893</v>
      </c>
      <c r="E162" s="288" t="s">
        <v>894</v>
      </c>
      <c r="F162" s="91" t="s">
        <v>791</v>
      </c>
      <c r="G162" s="289" t="s">
        <v>874</v>
      </c>
      <c r="H162" s="289" t="s">
        <v>610</v>
      </c>
      <c r="I162" s="331" t="s">
        <v>792</v>
      </c>
      <c r="J162" s="332">
        <v>2020</v>
      </c>
      <c r="K162" s="290">
        <v>2020</v>
      </c>
      <c r="L162" s="292">
        <v>1</v>
      </c>
      <c r="M162" s="292"/>
      <c r="N162" s="290">
        <v>25</v>
      </c>
      <c r="O162" s="293">
        <v>0.11175</v>
      </c>
      <c r="P162" s="293">
        <v>1.3545454545454561E-3</v>
      </c>
      <c r="Q162" s="290">
        <v>0.58461805555555546</v>
      </c>
      <c r="R162" s="290">
        <v>3.1536000000000002E-2</v>
      </c>
      <c r="S162" s="292">
        <v>0.5</v>
      </c>
      <c r="T162" s="292">
        <v>1</v>
      </c>
      <c r="U162" s="322"/>
      <c r="V162" s="292">
        <v>0.2</v>
      </c>
      <c r="W162" s="323"/>
      <c r="X162" s="295">
        <v>0.3</v>
      </c>
      <c r="Y162" s="295">
        <v>9</v>
      </c>
      <c r="Z162" s="295">
        <v>3</v>
      </c>
      <c r="AA162" s="295">
        <v>1</v>
      </c>
      <c r="AB162" s="295">
        <v>0.1</v>
      </c>
      <c r="AC162" s="91"/>
      <c r="AD162" s="91"/>
      <c r="AE162" s="333"/>
      <c r="AF162" s="334"/>
    </row>
    <row r="163" spans="1:32">
      <c r="A163" s="91" t="str">
        <f t="shared" si="2"/>
        <v>INDGDMTGASN5</v>
      </c>
      <c r="B163" s="131" t="s">
        <v>871</v>
      </c>
      <c r="C163" s="91"/>
      <c r="D163" s="91"/>
      <c r="E163" s="288"/>
      <c r="F163" s="91"/>
      <c r="G163" s="91"/>
      <c r="H163" s="289"/>
      <c r="I163" s="289" t="s">
        <v>792</v>
      </c>
      <c r="J163" s="290">
        <v>2030</v>
      </c>
      <c r="K163" s="290"/>
      <c r="L163" s="292">
        <v>1</v>
      </c>
      <c r="M163" s="292"/>
      <c r="N163" s="290"/>
      <c r="O163" s="293">
        <v>0.11175</v>
      </c>
      <c r="P163" s="293">
        <v>1.3206818181818161E-3</v>
      </c>
      <c r="Q163" s="290">
        <v>0.5742708333333334</v>
      </c>
      <c r="R163" s="298"/>
      <c r="S163" s="298"/>
      <c r="T163" s="298"/>
      <c r="U163" s="298"/>
      <c r="V163" s="292">
        <v>0.2</v>
      </c>
      <c r="W163" s="294"/>
      <c r="X163" s="295">
        <v>0.3</v>
      </c>
      <c r="Y163" s="295">
        <v>7</v>
      </c>
      <c r="Z163" s="295">
        <v>2</v>
      </c>
      <c r="AA163" s="295">
        <v>1</v>
      </c>
      <c r="AB163" s="295">
        <v>0.1</v>
      </c>
      <c r="AC163" s="91"/>
      <c r="AD163" s="91"/>
      <c r="AE163" s="333"/>
      <c r="AF163" s="335"/>
    </row>
    <row r="164" spans="1:32">
      <c r="A164" s="91" t="str">
        <f t="shared" si="2"/>
        <v>INDGDMTGASN5</v>
      </c>
      <c r="B164" s="136" t="s">
        <v>871</v>
      </c>
      <c r="C164" s="48"/>
      <c r="D164" s="325"/>
      <c r="E164" s="325"/>
      <c r="F164" s="48"/>
      <c r="G164" s="48"/>
      <c r="H164" s="326"/>
      <c r="I164" s="326" t="s">
        <v>792</v>
      </c>
      <c r="J164" s="290">
        <v>2050</v>
      </c>
      <c r="K164" s="290"/>
      <c r="L164" s="292">
        <v>1</v>
      </c>
      <c r="M164" s="292"/>
      <c r="N164" s="290"/>
      <c r="O164" s="293">
        <v>0.11175</v>
      </c>
      <c r="P164" s="293">
        <v>1.1513636363636396E-3</v>
      </c>
      <c r="Q164" s="290">
        <v>0.57944444444444443</v>
      </c>
      <c r="R164" s="336"/>
      <c r="S164" s="327"/>
      <c r="T164" s="327"/>
      <c r="U164" s="327"/>
      <c r="V164" s="292">
        <v>0.2</v>
      </c>
      <c r="W164" s="329"/>
      <c r="X164" s="295">
        <v>0.3</v>
      </c>
      <c r="Y164" s="295">
        <v>6</v>
      </c>
      <c r="Z164" s="295">
        <v>2</v>
      </c>
      <c r="AA164" s="295">
        <v>1</v>
      </c>
      <c r="AB164" s="295">
        <v>0.1</v>
      </c>
      <c r="AC164" s="91"/>
      <c r="AD164" s="91"/>
      <c r="AE164" s="333"/>
      <c r="AF164" s="335"/>
    </row>
    <row r="165" spans="1:32">
      <c r="A165" s="91" t="str">
        <f t="shared" si="2"/>
        <v>INDGDHTCOAN1</v>
      </c>
      <c r="B165" s="131" t="s">
        <v>895</v>
      </c>
      <c r="C165" s="91"/>
      <c r="D165" s="320" t="s">
        <v>896</v>
      </c>
      <c r="E165" s="288" t="s">
        <v>897</v>
      </c>
      <c r="F165" s="91" t="s">
        <v>791</v>
      </c>
      <c r="G165" s="91" t="s">
        <v>217</v>
      </c>
      <c r="H165" s="289" t="s">
        <v>609</v>
      </c>
      <c r="I165" s="289" t="s">
        <v>792</v>
      </c>
      <c r="J165" s="290">
        <v>2020</v>
      </c>
      <c r="K165" s="290">
        <v>2020</v>
      </c>
      <c r="L165" s="292">
        <v>0.89</v>
      </c>
      <c r="M165" s="312"/>
      <c r="N165" s="311">
        <v>25</v>
      </c>
      <c r="O165" s="313">
        <v>3.7250000000000001</v>
      </c>
      <c r="P165" s="313">
        <v>0.25106499999999998</v>
      </c>
      <c r="Q165" s="311">
        <v>3.9381527777777778</v>
      </c>
      <c r="R165" s="311">
        <v>3.1536000000000002E-2</v>
      </c>
      <c r="S165" s="312">
        <v>0.5</v>
      </c>
      <c r="T165" s="312">
        <v>1</v>
      </c>
      <c r="U165" s="297"/>
      <c r="V165" s="292">
        <v>0.41</v>
      </c>
      <c r="W165" s="294"/>
      <c r="X165" s="295">
        <v>8</v>
      </c>
      <c r="Y165" s="311">
        <v>35</v>
      </c>
      <c r="Z165" s="311">
        <v>1.5</v>
      </c>
      <c r="AA165" s="311">
        <v>0.8</v>
      </c>
      <c r="AB165" s="311">
        <v>2.1</v>
      </c>
      <c r="AC165" s="91"/>
      <c r="AD165" s="91"/>
      <c r="AE165" s="333"/>
      <c r="AF165" s="335"/>
    </row>
    <row r="166" spans="1:32">
      <c r="A166" s="91" t="str">
        <f t="shared" si="2"/>
        <v>INDGDHTCOAN1</v>
      </c>
      <c r="B166" s="131" t="s">
        <v>895</v>
      </c>
      <c r="C166" s="91"/>
      <c r="D166" s="288"/>
      <c r="E166" s="288"/>
      <c r="F166" s="91"/>
      <c r="G166" s="91"/>
      <c r="H166" s="289"/>
      <c r="I166" s="289" t="s">
        <v>792</v>
      </c>
      <c r="J166" s="290">
        <v>2030</v>
      </c>
      <c r="K166" s="290"/>
      <c r="L166" s="292">
        <v>0.89</v>
      </c>
      <c r="M166" s="297"/>
      <c r="N166" s="296"/>
      <c r="O166" s="313">
        <v>3.4699403462447704</v>
      </c>
      <c r="P166" s="313">
        <v>0.24287</v>
      </c>
      <c r="Q166" s="311">
        <v>3.9836805555555559</v>
      </c>
      <c r="R166" s="337"/>
      <c r="S166" s="298"/>
      <c r="T166" s="298"/>
      <c r="U166" s="298"/>
      <c r="V166" s="292">
        <v>0.41</v>
      </c>
      <c r="W166" s="294"/>
      <c r="X166" s="295">
        <v>8</v>
      </c>
      <c r="Y166" s="311">
        <v>35</v>
      </c>
      <c r="Z166" s="311">
        <v>1.5</v>
      </c>
      <c r="AA166" s="311">
        <v>0.8</v>
      </c>
      <c r="AB166" s="311">
        <v>2.1</v>
      </c>
      <c r="AC166" s="91"/>
      <c r="AD166" s="91"/>
      <c r="AE166" s="333"/>
      <c r="AF166" s="335"/>
    </row>
    <row r="167" spans="1:32">
      <c r="A167" s="91" t="str">
        <f t="shared" si="2"/>
        <v>INDGDHTCOAN1</v>
      </c>
      <c r="B167" s="131" t="s">
        <v>895</v>
      </c>
      <c r="C167" s="91"/>
      <c r="D167" s="288"/>
      <c r="E167" s="288"/>
      <c r="F167" s="91"/>
      <c r="G167" s="91"/>
      <c r="H167" s="289"/>
      <c r="I167" s="289" t="s">
        <v>792</v>
      </c>
      <c r="J167" s="290">
        <v>2050</v>
      </c>
      <c r="K167" s="290"/>
      <c r="L167" s="292">
        <v>0.91</v>
      </c>
      <c r="M167" s="297"/>
      <c r="N167" s="296"/>
      <c r="O167" s="313">
        <v>3.2813985758696647</v>
      </c>
      <c r="P167" s="313">
        <v>0.22797000000000001</v>
      </c>
      <c r="Q167" s="311">
        <v>4.0064444444444449</v>
      </c>
      <c r="R167" s="337"/>
      <c r="S167" s="298"/>
      <c r="T167" s="298"/>
      <c r="U167" s="298"/>
      <c r="V167" s="292">
        <v>0.38999999999999996</v>
      </c>
      <c r="W167" s="294"/>
      <c r="X167" s="295">
        <v>8</v>
      </c>
      <c r="Y167" s="311">
        <v>35</v>
      </c>
      <c r="Z167" s="311">
        <v>1.5</v>
      </c>
      <c r="AA167" s="311">
        <v>0.8</v>
      </c>
      <c r="AB167" s="311">
        <v>2.1</v>
      </c>
      <c r="AC167" s="91"/>
      <c r="AD167" s="91"/>
      <c r="AE167" s="333"/>
      <c r="AF167" s="335"/>
    </row>
    <row r="168" spans="1:32">
      <c r="A168" s="91" t="str">
        <f t="shared" si="2"/>
        <v>INDGDMTCOAN1</v>
      </c>
      <c r="B168" s="131" t="s">
        <v>895</v>
      </c>
      <c r="C168" s="91"/>
      <c r="D168" s="288" t="s">
        <v>898</v>
      </c>
      <c r="E168" s="288" t="s">
        <v>899</v>
      </c>
      <c r="F168" s="91" t="s">
        <v>791</v>
      </c>
      <c r="G168" s="91" t="s">
        <v>217</v>
      </c>
      <c r="H168" s="289" t="s">
        <v>610</v>
      </c>
      <c r="I168" s="289" t="s">
        <v>792</v>
      </c>
      <c r="J168" s="290">
        <v>2020</v>
      </c>
      <c r="K168" s="290">
        <v>2020</v>
      </c>
      <c r="L168" s="292">
        <v>0.89</v>
      </c>
      <c r="M168" s="292"/>
      <c r="N168" s="290">
        <v>25</v>
      </c>
      <c r="O168" s="313">
        <v>3.7250000000000001</v>
      </c>
      <c r="P168" s="313">
        <v>0.25106499999999998</v>
      </c>
      <c r="Q168" s="311">
        <v>3.9381527777777778</v>
      </c>
      <c r="R168" s="290">
        <v>3.1536000000000002E-2</v>
      </c>
      <c r="S168" s="292">
        <v>0.5</v>
      </c>
      <c r="T168" s="292">
        <v>0.97</v>
      </c>
      <c r="U168" s="297"/>
      <c r="V168" s="292">
        <v>0.31</v>
      </c>
      <c r="W168" s="294"/>
      <c r="X168" s="295">
        <v>8</v>
      </c>
      <c r="Y168" s="311">
        <v>35</v>
      </c>
      <c r="Z168" s="311">
        <v>1.5</v>
      </c>
      <c r="AA168" s="311">
        <v>0.8</v>
      </c>
      <c r="AB168" s="311">
        <v>2.1</v>
      </c>
      <c r="AC168" s="91"/>
      <c r="AD168" s="91"/>
      <c r="AE168" s="333"/>
      <c r="AF168" s="335"/>
    </row>
    <row r="169" spans="1:32">
      <c r="A169" s="91" t="str">
        <f t="shared" si="2"/>
        <v>INDGDMTCOAN1</v>
      </c>
      <c r="B169" s="131" t="s">
        <v>895</v>
      </c>
      <c r="C169" s="91"/>
      <c r="D169" s="288"/>
      <c r="E169" s="288"/>
      <c r="F169" s="91"/>
      <c r="G169" s="91"/>
      <c r="H169" s="289"/>
      <c r="I169" s="289" t="s">
        <v>792</v>
      </c>
      <c r="J169" s="290">
        <v>2030</v>
      </c>
      <c r="K169" s="290"/>
      <c r="L169" s="292">
        <v>0.89</v>
      </c>
      <c r="M169" s="297"/>
      <c r="N169" s="296"/>
      <c r="O169" s="313">
        <v>3.4699403462447704</v>
      </c>
      <c r="P169" s="313">
        <v>0.24287</v>
      </c>
      <c r="Q169" s="311">
        <v>3.9836805555555559</v>
      </c>
      <c r="R169" s="337"/>
      <c r="S169" s="298"/>
      <c r="T169" s="298"/>
      <c r="U169" s="298"/>
      <c r="V169" s="292">
        <v>0.31</v>
      </c>
      <c r="W169" s="294"/>
      <c r="X169" s="295">
        <v>8</v>
      </c>
      <c r="Y169" s="311">
        <v>35</v>
      </c>
      <c r="Z169" s="311">
        <v>1.5</v>
      </c>
      <c r="AA169" s="311">
        <v>0.8</v>
      </c>
      <c r="AB169" s="311">
        <v>2.1</v>
      </c>
      <c r="AC169" s="91"/>
      <c r="AD169" s="91"/>
      <c r="AE169" s="333"/>
      <c r="AF169" s="335"/>
    </row>
    <row r="170" spans="1:32">
      <c r="A170" s="91" t="str">
        <f t="shared" si="2"/>
        <v>INDGDMTCOAN1</v>
      </c>
      <c r="B170" s="131" t="s">
        <v>895</v>
      </c>
      <c r="C170" s="91"/>
      <c r="D170" s="288"/>
      <c r="E170" s="288"/>
      <c r="F170" s="91"/>
      <c r="G170" s="91"/>
      <c r="H170" s="289"/>
      <c r="I170" s="289" t="s">
        <v>792</v>
      </c>
      <c r="J170" s="290">
        <v>2050</v>
      </c>
      <c r="K170" s="290"/>
      <c r="L170" s="292">
        <v>0.91</v>
      </c>
      <c r="M170" s="297"/>
      <c r="N170" s="296"/>
      <c r="O170" s="313">
        <v>3.2813985758696647</v>
      </c>
      <c r="P170" s="313">
        <v>0.22797000000000001</v>
      </c>
      <c r="Q170" s="311">
        <v>4.0064444444444449</v>
      </c>
      <c r="R170" s="337"/>
      <c r="S170" s="298"/>
      <c r="T170" s="298"/>
      <c r="U170" s="298"/>
      <c r="V170" s="292">
        <v>0.28999999999999998</v>
      </c>
      <c r="W170" s="294"/>
      <c r="X170" s="295">
        <v>8</v>
      </c>
      <c r="Y170" s="311">
        <v>35</v>
      </c>
      <c r="Z170" s="311">
        <v>1.5</v>
      </c>
      <c r="AA170" s="311">
        <v>0.8</v>
      </c>
      <c r="AB170" s="311">
        <v>2.1</v>
      </c>
      <c r="AC170" s="91"/>
      <c r="AD170" s="91"/>
      <c r="AE170" s="333"/>
      <c r="AF170" s="335"/>
    </row>
    <row r="171" spans="1:32">
      <c r="A171" s="91" t="str">
        <f t="shared" si="2"/>
        <v>INDGDRHCOAN1</v>
      </c>
      <c r="B171" s="131" t="s">
        <v>895</v>
      </c>
      <c r="C171" s="91"/>
      <c r="D171" s="288" t="s">
        <v>900</v>
      </c>
      <c r="E171" s="288" t="s">
        <v>901</v>
      </c>
      <c r="F171" s="91" t="s">
        <v>791</v>
      </c>
      <c r="G171" s="91" t="s">
        <v>217</v>
      </c>
      <c r="H171" s="289" t="s">
        <v>795</v>
      </c>
      <c r="I171" s="289" t="s">
        <v>792</v>
      </c>
      <c r="J171" s="290">
        <v>2020</v>
      </c>
      <c r="K171" s="290">
        <v>2020</v>
      </c>
      <c r="L171" s="292">
        <v>0.89</v>
      </c>
      <c r="M171" s="292"/>
      <c r="N171" s="290">
        <v>25</v>
      </c>
      <c r="O171" s="313">
        <v>3.7250000000000001</v>
      </c>
      <c r="P171" s="313">
        <v>0.25106499999999998</v>
      </c>
      <c r="Q171" s="311">
        <v>3.9381527777777778</v>
      </c>
      <c r="R171" s="290">
        <v>3.1536000000000002E-2</v>
      </c>
      <c r="S171" s="292">
        <v>0.5</v>
      </c>
      <c r="T171" s="292">
        <v>1</v>
      </c>
      <c r="U171" s="297"/>
      <c r="V171" s="292">
        <v>0.10999999999999999</v>
      </c>
      <c r="W171" s="294"/>
      <c r="X171" s="295">
        <v>8</v>
      </c>
      <c r="Y171" s="311">
        <v>35</v>
      </c>
      <c r="Z171" s="311">
        <v>1.5</v>
      </c>
      <c r="AA171" s="311">
        <v>0.8</v>
      </c>
      <c r="AB171" s="311">
        <v>2.1</v>
      </c>
      <c r="AC171" s="91"/>
      <c r="AD171" s="91"/>
      <c r="AE171" s="333"/>
      <c r="AF171" s="335"/>
    </row>
    <row r="172" spans="1:32">
      <c r="A172" s="91" t="str">
        <f t="shared" si="2"/>
        <v>INDGDRHCOAN1</v>
      </c>
      <c r="B172" s="131" t="s">
        <v>895</v>
      </c>
      <c r="C172" s="91"/>
      <c r="D172" s="288"/>
      <c r="E172" s="288"/>
      <c r="F172" s="91"/>
      <c r="G172" s="91"/>
      <c r="H172" s="289"/>
      <c r="I172" s="289" t="s">
        <v>792</v>
      </c>
      <c r="J172" s="290">
        <v>2030</v>
      </c>
      <c r="K172" s="290"/>
      <c r="L172" s="292">
        <v>0.89</v>
      </c>
      <c r="M172" s="297"/>
      <c r="N172" s="296"/>
      <c r="O172" s="313">
        <v>3.4699403462447704</v>
      </c>
      <c r="P172" s="313">
        <v>0.24287</v>
      </c>
      <c r="Q172" s="311">
        <v>3.9836805555555559</v>
      </c>
      <c r="R172" s="337"/>
      <c r="S172" s="298"/>
      <c r="T172" s="298"/>
      <c r="U172" s="298"/>
      <c r="V172" s="292">
        <v>0.10999999999999999</v>
      </c>
      <c r="W172" s="294"/>
      <c r="X172" s="295">
        <v>8</v>
      </c>
      <c r="Y172" s="311">
        <v>35</v>
      </c>
      <c r="Z172" s="311">
        <v>1.5</v>
      </c>
      <c r="AA172" s="311">
        <v>0.8</v>
      </c>
      <c r="AB172" s="311">
        <v>2.1</v>
      </c>
      <c r="AC172" s="91"/>
      <c r="AD172" s="91"/>
      <c r="AE172" s="333"/>
      <c r="AF172" s="335"/>
    </row>
    <row r="173" spans="1:32">
      <c r="A173" s="91" t="str">
        <f t="shared" si="2"/>
        <v>INDGDRHCOAN1</v>
      </c>
      <c r="B173" s="136" t="s">
        <v>895</v>
      </c>
      <c r="C173" s="48"/>
      <c r="D173" s="325"/>
      <c r="E173" s="325"/>
      <c r="F173" s="48"/>
      <c r="G173" s="48"/>
      <c r="H173" s="326"/>
      <c r="I173" s="326" t="s">
        <v>792</v>
      </c>
      <c r="J173" s="290">
        <v>2050</v>
      </c>
      <c r="K173" s="290"/>
      <c r="L173" s="292">
        <v>0.91</v>
      </c>
      <c r="M173" s="338"/>
      <c r="N173" s="339"/>
      <c r="O173" s="313">
        <v>3.2813985758696647</v>
      </c>
      <c r="P173" s="313">
        <v>0.22797000000000001</v>
      </c>
      <c r="Q173" s="311">
        <v>4.0064444444444449</v>
      </c>
      <c r="R173" s="336"/>
      <c r="S173" s="327"/>
      <c r="T173" s="327"/>
      <c r="U173" s="327"/>
      <c r="V173" s="292">
        <v>8.9999999999999969E-2</v>
      </c>
      <c r="W173" s="328"/>
      <c r="X173" s="295">
        <v>8</v>
      </c>
      <c r="Y173" s="311">
        <v>35</v>
      </c>
      <c r="Z173" s="311">
        <v>1.5</v>
      </c>
      <c r="AA173" s="311">
        <v>0.8</v>
      </c>
      <c r="AB173" s="311">
        <v>2.1</v>
      </c>
      <c r="AC173" s="48"/>
      <c r="AD173" s="48"/>
      <c r="AE173" s="333"/>
      <c r="AF173" s="340"/>
    </row>
    <row r="174" spans="1:32">
      <c r="A174" s="91" t="str">
        <f t="shared" si="2"/>
        <v>INDGDMTCOAN2</v>
      </c>
      <c r="B174" s="131" t="s">
        <v>895</v>
      </c>
      <c r="C174" s="91"/>
      <c r="D174" s="320" t="s">
        <v>902</v>
      </c>
      <c r="E174" s="288" t="s">
        <v>903</v>
      </c>
      <c r="F174" s="91" t="s">
        <v>791</v>
      </c>
      <c r="G174" s="91" t="s">
        <v>217</v>
      </c>
      <c r="H174" s="289" t="s">
        <v>610</v>
      </c>
      <c r="I174" s="289" t="s">
        <v>792</v>
      </c>
      <c r="J174" s="290">
        <v>2020</v>
      </c>
      <c r="K174" s="290">
        <v>2020</v>
      </c>
      <c r="L174" s="292">
        <v>0.89</v>
      </c>
      <c r="M174" s="292"/>
      <c r="N174" s="290">
        <v>25</v>
      </c>
      <c r="O174" s="293">
        <v>3.7250000000000001</v>
      </c>
      <c r="P174" s="293">
        <v>0.25106499999999998</v>
      </c>
      <c r="Q174" s="290">
        <v>3.9381527777777778</v>
      </c>
      <c r="R174" s="290">
        <v>3.1536000000000002E-2</v>
      </c>
      <c r="S174" s="292">
        <v>0.5</v>
      </c>
      <c r="T174" s="292">
        <v>0.5</v>
      </c>
      <c r="U174" s="322"/>
      <c r="V174" s="292">
        <v>0.31</v>
      </c>
      <c r="W174" s="323"/>
      <c r="X174" s="295">
        <v>8</v>
      </c>
      <c r="Y174" s="295">
        <v>35</v>
      </c>
      <c r="Z174" s="295">
        <v>1.5</v>
      </c>
      <c r="AA174" s="295">
        <v>0.8</v>
      </c>
      <c r="AB174" s="295">
        <v>2.1</v>
      </c>
      <c r="AC174" s="91"/>
      <c r="AD174" s="91"/>
      <c r="AE174" s="333"/>
      <c r="AF174" s="335"/>
    </row>
    <row r="175" spans="1:32">
      <c r="A175" s="91" t="str">
        <f t="shared" si="2"/>
        <v>INDGDMTCOAN2</v>
      </c>
      <c r="B175" s="131" t="s">
        <v>895</v>
      </c>
      <c r="C175" s="91"/>
      <c r="D175" s="288"/>
      <c r="E175" s="288"/>
      <c r="F175" s="91"/>
      <c r="G175" s="91"/>
      <c r="H175" s="289"/>
      <c r="I175" s="289" t="s">
        <v>792</v>
      </c>
      <c r="J175" s="290">
        <v>2030</v>
      </c>
      <c r="K175" s="290"/>
      <c r="L175" s="292">
        <v>0.89</v>
      </c>
      <c r="M175" s="297"/>
      <c r="N175" s="296"/>
      <c r="O175" s="293">
        <v>3.7250000000000001</v>
      </c>
      <c r="P175" s="293">
        <v>0.24287</v>
      </c>
      <c r="Q175" s="290">
        <v>3.9836805555555559</v>
      </c>
      <c r="R175" s="337"/>
      <c r="S175" s="298"/>
      <c r="T175" s="298"/>
      <c r="U175" s="298"/>
      <c r="V175" s="292">
        <v>0.31</v>
      </c>
      <c r="W175" s="294"/>
      <c r="X175" s="341"/>
      <c r="Y175" s="341"/>
      <c r="Z175" s="341"/>
      <c r="AA175" s="341"/>
      <c r="AB175" s="341"/>
      <c r="AC175" s="91"/>
      <c r="AD175" s="91"/>
      <c r="AE175" s="333"/>
      <c r="AF175" s="335"/>
    </row>
    <row r="176" spans="1:32">
      <c r="A176" s="91" t="str">
        <f t="shared" si="2"/>
        <v>INDGDMTCOAN2</v>
      </c>
      <c r="B176" s="131" t="s">
        <v>895</v>
      </c>
      <c r="C176" s="91"/>
      <c r="D176" s="288"/>
      <c r="E176" s="288"/>
      <c r="F176" s="91"/>
      <c r="G176" s="91"/>
      <c r="H176" s="289"/>
      <c r="I176" s="289" t="s">
        <v>792</v>
      </c>
      <c r="J176" s="290">
        <v>2050</v>
      </c>
      <c r="K176" s="290"/>
      <c r="L176" s="292">
        <v>0.91</v>
      </c>
      <c r="M176" s="297"/>
      <c r="N176" s="296"/>
      <c r="O176" s="293">
        <v>3.7250000000000001</v>
      </c>
      <c r="P176" s="293">
        <v>0.22797000000000001</v>
      </c>
      <c r="Q176" s="290">
        <v>4.0064444444444449</v>
      </c>
      <c r="R176" s="337"/>
      <c r="S176" s="298"/>
      <c r="T176" s="298"/>
      <c r="U176" s="298"/>
      <c r="V176" s="292">
        <v>0.28999999999999998</v>
      </c>
      <c r="W176" s="294"/>
      <c r="X176" s="341"/>
      <c r="Y176" s="341"/>
      <c r="Z176" s="341"/>
      <c r="AA176" s="341"/>
      <c r="AB176" s="341"/>
      <c r="AC176" s="91"/>
      <c r="AD176" s="91"/>
      <c r="AE176" s="333"/>
      <c r="AF176" s="335"/>
    </row>
    <row r="177" spans="1:32">
      <c r="A177" s="91" t="str">
        <f t="shared" si="2"/>
        <v>INDGDRHCOAN2</v>
      </c>
      <c r="B177" s="131" t="s">
        <v>895</v>
      </c>
      <c r="C177" s="91"/>
      <c r="D177" s="288" t="s">
        <v>904</v>
      </c>
      <c r="E177" s="288" t="s">
        <v>905</v>
      </c>
      <c r="F177" s="91" t="s">
        <v>791</v>
      </c>
      <c r="G177" s="91" t="s">
        <v>217</v>
      </c>
      <c r="H177" s="289" t="s">
        <v>795</v>
      </c>
      <c r="I177" s="289" t="s">
        <v>792</v>
      </c>
      <c r="J177" s="290">
        <v>2020</v>
      </c>
      <c r="K177" s="290">
        <v>2020</v>
      </c>
      <c r="L177" s="292">
        <v>0.89</v>
      </c>
      <c r="M177" s="292"/>
      <c r="N177" s="290">
        <v>25</v>
      </c>
      <c r="O177" s="293">
        <v>3.7250000000000001</v>
      </c>
      <c r="P177" s="293">
        <v>0.25106499999999998</v>
      </c>
      <c r="Q177" s="290">
        <v>3.9381527777777778</v>
      </c>
      <c r="R177" s="290">
        <v>3.1536000000000002E-2</v>
      </c>
      <c r="S177" s="292">
        <v>0.5</v>
      </c>
      <c r="T177" s="292">
        <v>1</v>
      </c>
      <c r="U177" s="322"/>
      <c r="V177" s="292">
        <v>0.10999999999999999</v>
      </c>
      <c r="W177" s="323"/>
      <c r="X177" s="295">
        <v>8</v>
      </c>
      <c r="Y177" s="295">
        <v>35</v>
      </c>
      <c r="Z177" s="295">
        <v>1.5</v>
      </c>
      <c r="AA177" s="295">
        <v>0.8</v>
      </c>
      <c r="AB177" s="295">
        <v>2.1</v>
      </c>
      <c r="AC177" s="91"/>
      <c r="AD177" s="91"/>
      <c r="AE177" s="333"/>
      <c r="AF177" s="335"/>
    </row>
    <row r="178" spans="1:32">
      <c r="A178" s="91" t="str">
        <f t="shared" si="2"/>
        <v>INDGDRHCOAN2</v>
      </c>
      <c r="B178" s="131" t="s">
        <v>895</v>
      </c>
      <c r="C178" s="91"/>
      <c r="D178" s="288"/>
      <c r="E178" s="288"/>
      <c r="F178" s="91"/>
      <c r="G178" s="91"/>
      <c r="H178" s="289"/>
      <c r="I178" s="289" t="s">
        <v>792</v>
      </c>
      <c r="J178" s="290">
        <v>2030</v>
      </c>
      <c r="K178" s="296"/>
      <c r="L178" s="292">
        <v>0.89</v>
      </c>
      <c r="M178" s="297"/>
      <c r="N178" s="296"/>
      <c r="O178" s="293">
        <v>3.7250000000000001</v>
      </c>
      <c r="P178" s="293">
        <v>0.24287</v>
      </c>
      <c r="Q178" s="290">
        <v>3.9836805555555559</v>
      </c>
      <c r="R178" s="337"/>
      <c r="S178" s="298"/>
      <c r="T178" s="298"/>
      <c r="U178" s="298"/>
      <c r="V178" s="292">
        <v>0.10999999999999999</v>
      </c>
      <c r="W178" s="294"/>
      <c r="X178" s="341"/>
      <c r="Y178" s="341"/>
      <c r="Z178" s="341"/>
      <c r="AA178" s="341"/>
      <c r="AB178" s="341"/>
      <c r="AC178" s="91"/>
      <c r="AD178" s="91"/>
      <c r="AE178" s="333"/>
      <c r="AF178" s="335"/>
    </row>
    <row r="179" spans="1:32">
      <c r="A179" s="91" t="str">
        <f t="shared" si="2"/>
        <v>INDGDRHCOAN2</v>
      </c>
      <c r="B179" s="136" t="s">
        <v>895</v>
      </c>
      <c r="C179" s="48"/>
      <c r="D179" s="325"/>
      <c r="E179" s="325"/>
      <c r="F179" s="48"/>
      <c r="G179" s="48"/>
      <c r="H179" s="326"/>
      <c r="I179" s="342" t="s">
        <v>792</v>
      </c>
      <c r="J179" s="290">
        <v>2050</v>
      </c>
      <c r="K179" s="339"/>
      <c r="L179" s="292">
        <v>0.91</v>
      </c>
      <c r="M179" s="338"/>
      <c r="N179" s="339"/>
      <c r="O179" s="293">
        <v>3.7250000000000001</v>
      </c>
      <c r="P179" s="293">
        <v>0.22797000000000001</v>
      </c>
      <c r="Q179" s="290">
        <v>4.0064444444444449</v>
      </c>
      <c r="R179" s="336"/>
      <c r="S179" s="327"/>
      <c r="T179" s="327"/>
      <c r="U179" s="327"/>
      <c r="V179" s="292">
        <v>8.9999999999999969E-2</v>
      </c>
      <c r="W179" s="328"/>
      <c r="X179" s="343"/>
      <c r="Y179" s="343"/>
      <c r="Z179" s="343"/>
      <c r="AA179" s="343"/>
      <c r="AB179" s="343"/>
      <c r="AC179" s="48"/>
      <c r="AD179" s="48"/>
      <c r="AE179" s="333"/>
      <c r="AF179" s="340"/>
    </row>
    <row r="180" spans="1:32">
      <c r="A180" s="91" t="str">
        <f t="shared" si="2"/>
        <v>INDGDRHSOLN1</v>
      </c>
      <c r="B180" s="91" t="s">
        <v>906</v>
      </c>
      <c r="C180" s="128"/>
      <c r="D180" s="288" t="s">
        <v>907</v>
      </c>
      <c r="E180" s="288" t="s">
        <v>908</v>
      </c>
      <c r="F180" s="91" t="s">
        <v>791</v>
      </c>
      <c r="G180" s="91" t="s">
        <v>909</v>
      </c>
      <c r="H180" s="289" t="s">
        <v>795</v>
      </c>
      <c r="I180" s="289"/>
      <c r="J180" s="290">
        <v>2020</v>
      </c>
      <c r="K180" s="290">
        <v>2020</v>
      </c>
      <c r="L180" s="292">
        <v>1</v>
      </c>
      <c r="M180" s="297"/>
      <c r="N180" s="292">
        <v>25</v>
      </c>
      <c r="O180" s="292">
        <v>4.2857142857142865</v>
      </c>
      <c r="P180" s="292">
        <v>2.0660433158225668E-2</v>
      </c>
      <c r="Q180" s="292">
        <v>0</v>
      </c>
      <c r="R180" s="290">
        <v>3.1536000000000002E-2</v>
      </c>
      <c r="S180" s="292">
        <v>0.5</v>
      </c>
      <c r="T180" s="292">
        <v>1</v>
      </c>
      <c r="U180" s="298"/>
      <c r="V180" s="292"/>
      <c r="W180" s="294"/>
      <c r="X180" s="295">
        <v>0</v>
      </c>
      <c r="Y180" s="290">
        <v>0</v>
      </c>
      <c r="Z180" s="290">
        <v>0</v>
      </c>
      <c r="AA180" s="290">
        <v>0</v>
      </c>
      <c r="AB180" s="290">
        <v>0</v>
      </c>
      <c r="AC180" s="91"/>
      <c r="AD180" s="91"/>
      <c r="AE180" s="296"/>
      <c r="AF180" s="317"/>
    </row>
    <row r="181" spans="1:32">
      <c r="A181" s="91" t="str">
        <f t="shared" si="2"/>
        <v>INDGDRHSOLN1</v>
      </c>
      <c r="B181" s="91" t="s">
        <v>906</v>
      </c>
      <c r="C181" s="130"/>
      <c r="D181" s="288"/>
      <c r="E181" s="288"/>
      <c r="F181" s="91"/>
      <c r="G181" s="91"/>
      <c r="H181" s="289"/>
      <c r="I181" s="289"/>
      <c r="J181" s="290">
        <v>2030</v>
      </c>
      <c r="K181" s="296"/>
      <c r="L181" s="292">
        <v>1</v>
      </c>
      <c r="M181" s="297"/>
      <c r="N181" s="292">
        <v>30</v>
      </c>
      <c r="O181" s="292">
        <v>3.9285714285714284</v>
      </c>
      <c r="P181" s="292">
        <v>2.328125E-2</v>
      </c>
      <c r="Q181" s="292">
        <v>0</v>
      </c>
      <c r="R181" s="337"/>
      <c r="S181" s="298"/>
      <c r="T181" s="298"/>
      <c r="U181" s="298"/>
      <c r="V181" s="297"/>
      <c r="W181" s="294"/>
      <c r="X181" s="341"/>
      <c r="Y181" s="341"/>
      <c r="Z181" s="341"/>
      <c r="AA181" s="341"/>
      <c r="AB181" s="341"/>
      <c r="AC181" s="91"/>
      <c r="AD181" s="91"/>
      <c r="AE181" s="296"/>
      <c r="AF181" s="317"/>
    </row>
    <row r="182" spans="1:32">
      <c r="A182" s="91" t="str">
        <f t="shared" si="2"/>
        <v>INDGDRHSOLN1</v>
      </c>
      <c r="B182" s="48" t="s">
        <v>906</v>
      </c>
      <c r="C182" s="135"/>
      <c r="D182" s="325"/>
      <c r="E182" s="325"/>
      <c r="F182" s="48"/>
      <c r="G182" s="48"/>
      <c r="H182" s="326"/>
      <c r="I182" s="326"/>
      <c r="J182" s="290">
        <v>2050</v>
      </c>
      <c r="K182" s="339"/>
      <c r="L182" s="292">
        <v>1</v>
      </c>
      <c r="M182" s="338"/>
      <c r="N182" s="292">
        <v>30</v>
      </c>
      <c r="O182" s="292">
        <v>3.5714285714285721</v>
      </c>
      <c r="P182" s="292">
        <v>2.1498571428571429E-2</v>
      </c>
      <c r="Q182" s="292">
        <v>0</v>
      </c>
      <c r="R182" s="336"/>
      <c r="S182" s="327"/>
      <c r="T182" s="327"/>
      <c r="U182" s="327"/>
      <c r="V182" s="338"/>
      <c r="W182" s="328"/>
      <c r="X182" s="343"/>
      <c r="Y182" s="343"/>
      <c r="Z182" s="343"/>
      <c r="AA182" s="343"/>
      <c r="AB182" s="343"/>
      <c r="AC182" s="48"/>
      <c r="AD182" s="48"/>
      <c r="AE182" s="339"/>
      <c r="AF182" s="324"/>
    </row>
    <row r="183" spans="1:32">
      <c r="B183" s="91"/>
      <c r="C183" s="91"/>
      <c r="D183" s="344" t="s">
        <v>910</v>
      </c>
      <c r="E183" s="344"/>
      <c r="F183" s="91" t="s">
        <v>791</v>
      </c>
      <c r="G183" s="91"/>
      <c r="H183" s="289"/>
      <c r="I183" s="289"/>
      <c r="J183" s="296"/>
      <c r="K183" s="296"/>
      <c r="L183" s="345"/>
      <c r="M183" s="345"/>
      <c r="N183" s="345"/>
      <c r="O183" s="82"/>
      <c r="P183" s="82"/>
      <c r="Q183" s="346"/>
      <c r="R183" s="347"/>
      <c r="S183" s="348"/>
      <c r="T183" s="345"/>
      <c r="U183" s="345"/>
      <c r="V183" s="345"/>
      <c r="W183" s="345"/>
      <c r="X183" s="345"/>
      <c r="Y183" s="345"/>
      <c r="Z183" s="345"/>
      <c r="AA183" s="345"/>
      <c r="AB183" s="345"/>
      <c r="AC183" s="91"/>
      <c r="AD183" s="91"/>
      <c r="AE183" s="91"/>
      <c r="AF183" s="91"/>
    </row>
    <row r="184" spans="1:32">
      <c r="B184" s="91"/>
      <c r="C184" s="91"/>
      <c r="D184" s="288" t="s">
        <v>911</v>
      </c>
      <c r="E184" s="91" t="s">
        <v>912</v>
      </c>
      <c r="F184" s="91" t="s">
        <v>791</v>
      </c>
      <c r="G184" s="349" t="s">
        <v>913</v>
      </c>
      <c r="H184" s="349" t="s">
        <v>795</v>
      </c>
      <c r="I184" s="349"/>
      <c r="J184" s="290">
        <v>2011</v>
      </c>
      <c r="K184" s="290">
        <v>2011</v>
      </c>
      <c r="L184" s="290">
        <v>0.96</v>
      </c>
      <c r="M184" s="290"/>
      <c r="N184" s="290">
        <v>30</v>
      </c>
      <c r="O184" s="350">
        <v>1.17</v>
      </c>
      <c r="P184" s="351">
        <v>5.8735799999999998E-2</v>
      </c>
      <c r="Q184" s="351">
        <v>1.9463124999999999</v>
      </c>
      <c r="R184" s="352">
        <v>3.1536000000000002E-2</v>
      </c>
      <c r="S184" s="353">
        <v>0.5</v>
      </c>
      <c r="T184" s="354"/>
      <c r="U184" s="354"/>
      <c r="V184" s="354"/>
      <c r="W184" s="355"/>
      <c r="X184" s="356"/>
      <c r="Y184" s="357"/>
      <c r="Z184" s="357"/>
      <c r="AA184" s="357"/>
      <c r="AB184" s="357"/>
      <c r="AC184" s="91"/>
      <c r="AD184" s="91"/>
      <c r="AE184" s="91"/>
      <c r="AF184" s="91"/>
    </row>
    <row r="185" spans="1:32">
      <c r="B185" s="91"/>
      <c r="C185" s="91"/>
      <c r="D185" s="288" t="s">
        <v>914</v>
      </c>
      <c r="E185" s="91" t="s">
        <v>915</v>
      </c>
      <c r="F185" s="91" t="s">
        <v>791</v>
      </c>
      <c r="G185" s="349" t="s">
        <v>913</v>
      </c>
      <c r="H185" s="358" t="s">
        <v>610</v>
      </c>
      <c r="I185" s="358"/>
      <c r="J185" s="290">
        <v>2011</v>
      </c>
      <c r="K185" s="290">
        <v>2011</v>
      </c>
      <c r="L185" s="290">
        <v>0.96</v>
      </c>
      <c r="M185" s="290"/>
      <c r="N185" s="290">
        <v>30</v>
      </c>
      <c r="O185" s="350">
        <v>1.17</v>
      </c>
      <c r="P185" s="351">
        <v>5.8735799999999998E-2</v>
      </c>
      <c r="Q185" s="351">
        <v>6.4090694444444436</v>
      </c>
      <c r="R185" s="352">
        <v>3.1536000000000002E-2</v>
      </c>
      <c r="S185" s="353">
        <v>0.5</v>
      </c>
      <c r="T185" s="354"/>
      <c r="U185" s="354"/>
      <c r="V185" s="354"/>
      <c r="W185" s="355"/>
      <c r="X185" s="356"/>
      <c r="Y185" s="357"/>
      <c r="Z185" s="357"/>
      <c r="AA185" s="357"/>
      <c r="AB185" s="357"/>
      <c r="AC185" s="91"/>
      <c r="AD185" s="91"/>
      <c r="AE185" s="91"/>
      <c r="AF185" s="91"/>
    </row>
    <row r="186" spans="1:32">
      <c r="B186" s="91"/>
      <c r="C186" s="91"/>
      <c r="D186" s="288" t="s">
        <v>916</v>
      </c>
      <c r="E186" s="91" t="s">
        <v>917</v>
      </c>
      <c r="F186" s="91" t="s">
        <v>791</v>
      </c>
      <c r="G186" s="359" t="s">
        <v>918</v>
      </c>
      <c r="H186" s="360" t="s">
        <v>795</v>
      </c>
      <c r="I186" s="360"/>
      <c r="J186" s="290">
        <v>2011</v>
      </c>
      <c r="K186" s="290">
        <v>2011</v>
      </c>
      <c r="L186" s="290">
        <v>0.96</v>
      </c>
      <c r="M186" s="290"/>
      <c r="N186" s="290">
        <v>30</v>
      </c>
      <c r="O186" s="350">
        <v>1.25</v>
      </c>
      <c r="P186" s="351">
        <v>5.8735799999999998E-2</v>
      </c>
      <c r="Q186" s="351">
        <v>1.9463124999999999</v>
      </c>
      <c r="R186" s="352">
        <v>3.1536000000000002E-2</v>
      </c>
      <c r="S186" s="353">
        <v>0.5</v>
      </c>
      <c r="T186" s="354"/>
      <c r="U186" s="354"/>
      <c r="V186" s="354"/>
      <c r="W186" s="355"/>
      <c r="X186" s="356"/>
      <c r="Y186" s="357"/>
      <c r="Z186" s="357"/>
      <c r="AA186" s="357"/>
      <c r="AB186" s="357"/>
      <c r="AC186" s="91"/>
      <c r="AD186" s="91"/>
      <c r="AE186" s="91"/>
      <c r="AF186" s="91"/>
    </row>
    <row r="187" spans="1:32">
      <c r="B187" s="91"/>
      <c r="C187" s="91"/>
      <c r="D187" s="288" t="s">
        <v>919</v>
      </c>
      <c r="E187" s="91" t="s">
        <v>920</v>
      </c>
      <c r="F187" s="91" t="s">
        <v>791</v>
      </c>
      <c r="G187" s="359" t="s">
        <v>918</v>
      </c>
      <c r="H187" s="349" t="s">
        <v>610</v>
      </c>
      <c r="I187" s="349"/>
      <c r="J187" s="290">
        <v>2011</v>
      </c>
      <c r="K187" s="290">
        <v>2011</v>
      </c>
      <c r="L187" s="290">
        <v>0.96</v>
      </c>
      <c r="M187" s="290"/>
      <c r="N187" s="290">
        <v>30</v>
      </c>
      <c r="O187" s="350">
        <v>1.25</v>
      </c>
      <c r="P187" s="351">
        <v>5.8735799999999998E-2</v>
      </c>
      <c r="Q187" s="351">
        <v>6.4090694444444436</v>
      </c>
      <c r="R187" s="352">
        <v>3.1536000000000002E-2</v>
      </c>
      <c r="S187" s="353">
        <v>0.5</v>
      </c>
      <c r="T187" s="354"/>
      <c r="U187" s="354"/>
      <c r="V187" s="354"/>
      <c r="W187" s="355"/>
      <c r="X187" s="356"/>
      <c r="Y187" s="357"/>
      <c r="Z187" s="357"/>
      <c r="AA187" s="357"/>
      <c r="AB187" s="357"/>
      <c r="AC187" s="91"/>
      <c r="AD187" s="91"/>
      <c r="AE187" s="91"/>
      <c r="AF187" s="91"/>
    </row>
    <row r="188" spans="1:32">
      <c r="B188" s="91"/>
      <c r="C188" s="91"/>
      <c r="D188" s="344" t="s">
        <v>921</v>
      </c>
      <c r="E188" s="344"/>
      <c r="F188" s="91" t="s">
        <v>791</v>
      </c>
      <c r="G188" s="361"/>
      <c r="H188" s="349"/>
      <c r="I188" s="349"/>
      <c r="J188" s="296"/>
      <c r="K188" s="296"/>
      <c r="L188" s="296"/>
      <c r="M188" s="296"/>
      <c r="N188" s="296"/>
      <c r="O188" s="82"/>
      <c r="P188" s="82"/>
      <c r="Q188" s="82"/>
      <c r="R188" s="362"/>
      <c r="S188" s="354"/>
      <c r="T188" s="354"/>
      <c r="U188" s="354"/>
      <c r="V188" s="354"/>
      <c r="W188" s="355"/>
      <c r="X188" s="91"/>
      <c r="Y188" s="91"/>
      <c r="Z188" s="91"/>
      <c r="AA188" s="91"/>
      <c r="AB188" s="91"/>
      <c r="AC188" s="91"/>
      <c r="AD188" s="91"/>
      <c r="AE188" s="91"/>
      <c r="AF188" s="91"/>
    </row>
    <row r="189" spans="1:32">
      <c r="B189" s="91"/>
      <c r="C189" s="91"/>
      <c r="D189" s="288" t="s">
        <v>922</v>
      </c>
      <c r="E189" s="91" t="s">
        <v>923</v>
      </c>
      <c r="F189" s="91" t="s">
        <v>791</v>
      </c>
      <c r="G189" s="349" t="s">
        <v>310</v>
      </c>
      <c r="H189" s="349" t="s">
        <v>924</v>
      </c>
      <c r="I189" s="349"/>
      <c r="J189" s="290">
        <v>2011</v>
      </c>
      <c r="K189" s="290">
        <v>2011</v>
      </c>
      <c r="L189" s="363">
        <v>1</v>
      </c>
      <c r="M189" s="363"/>
      <c r="N189" s="363">
        <v>10</v>
      </c>
      <c r="O189" s="351"/>
      <c r="P189" s="351"/>
      <c r="Q189" s="351"/>
      <c r="R189" s="352"/>
      <c r="S189" s="353">
        <v>0.9</v>
      </c>
      <c r="T189" s="354"/>
      <c r="U189" s="354"/>
      <c r="V189" s="354"/>
      <c r="W189" s="355"/>
      <c r="X189" s="356"/>
      <c r="Y189" s="357"/>
      <c r="Z189" s="357"/>
      <c r="AA189" s="357"/>
      <c r="AB189" s="357"/>
      <c r="AC189" s="91"/>
      <c r="AD189" s="91"/>
      <c r="AE189" s="91"/>
      <c r="AF189" s="91"/>
    </row>
    <row r="190" spans="1:32">
      <c r="B190" s="91"/>
      <c r="C190" s="91"/>
      <c r="D190" s="91"/>
      <c r="E190" s="91"/>
      <c r="F190" s="91" t="s">
        <v>791</v>
      </c>
      <c r="G190" s="349"/>
      <c r="H190" s="91"/>
      <c r="I190" s="91"/>
      <c r="J190" s="363">
        <v>2020</v>
      </c>
      <c r="K190" s="363"/>
      <c r="L190" s="363"/>
      <c r="M190" s="363"/>
      <c r="N190" s="363"/>
      <c r="O190" s="351"/>
      <c r="P190" s="351"/>
      <c r="Q190" s="351"/>
      <c r="R190" s="352"/>
      <c r="S190" s="353"/>
      <c r="T190" s="354"/>
      <c r="U190" s="354"/>
      <c r="V190" s="354"/>
      <c r="W190" s="355"/>
      <c r="X190" s="356"/>
      <c r="Y190" s="357"/>
      <c r="Z190" s="357"/>
      <c r="AA190" s="357"/>
      <c r="AB190" s="357"/>
      <c r="AC190" s="91"/>
      <c r="AD190" s="91"/>
      <c r="AE190" s="91"/>
      <c r="AF190" s="91"/>
    </row>
    <row r="191" spans="1:32">
      <c r="B191" s="91"/>
      <c r="C191" s="91"/>
      <c r="D191" s="91"/>
      <c r="E191" s="91"/>
      <c r="F191" s="91" t="s">
        <v>791</v>
      </c>
      <c r="G191" s="349"/>
      <c r="H191" s="349"/>
      <c r="I191" s="349"/>
      <c r="J191" s="363">
        <v>2030</v>
      </c>
      <c r="K191" s="363"/>
      <c r="L191" s="363"/>
      <c r="M191" s="363"/>
      <c r="N191" s="363"/>
      <c r="O191" s="351"/>
      <c r="P191" s="351"/>
      <c r="Q191" s="351"/>
      <c r="R191" s="352"/>
      <c r="S191" s="353"/>
      <c r="T191" s="354"/>
      <c r="U191" s="354"/>
      <c r="V191" s="354"/>
      <c r="W191" s="355"/>
      <c r="X191" s="356"/>
      <c r="Y191" s="357"/>
      <c r="Z191" s="357"/>
      <c r="AA191" s="357"/>
      <c r="AB191" s="357"/>
      <c r="AC191" s="91"/>
      <c r="AD191" s="91"/>
      <c r="AE191" s="91"/>
      <c r="AF191" s="91"/>
    </row>
    <row r="192" spans="1:32">
      <c r="B192" s="91"/>
      <c r="C192" s="91"/>
      <c r="D192" s="91"/>
      <c r="E192" s="91"/>
      <c r="F192" s="91" t="s">
        <v>791</v>
      </c>
      <c r="G192" s="349"/>
      <c r="H192" s="349"/>
      <c r="I192" s="349"/>
      <c r="J192" s="363">
        <v>2050</v>
      </c>
      <c r="K192" s="363"/>
      <c r="L192" s="363"/>
      <c r="M192" s="363"/>
      <c r="N192" s="363"/>
      <c r="O192" s="351"/>
      <c r="P192" s="351"/>
      <c r="Q192" s="351"/>
      <c r="R192" s="352"/>
      <c r="S192" s="353"/>
      <c r="T192" s="354"/>
      <c r="U192" s="354"/>
      <c r="V192" s="354"/>
      <c r="W192" s="355"/>
      <c r="X192" s="356"/>
      <c r="Y192" s="357"/>
      <c r="Z192" s="357"/>
      <c r="AA192" s="357"/>
      <c r="AB192" s="357"/>
      <c r="AC192" s="91"/>
      <c r="AD192" s="91"/>
      <c r="AE192" s="91"/>
      <c r="AF192" s="91"/>
    </row>
    <row r="193" spans="2:32">
      <c r="B193" s="91"/>
      <c r="C193" s="91"/>
      <c r="D193" s="288" t="s">
        <v>925</v>
      </c>
      <c r="E193" s="91" t="s">
        <v>926</v>
      </c>
      <c r="F193" s="91" t="s">
        <v>791</v>
      </c>
      <c r="G193" s="349" t="s">
        <v>310</v>
      </c>
      <c r="H193" s="349" t="s">
        <v>927</v>
      </c>
      <c r="I193" s="349"/>
      <c r="J193" s="290">
        <v>2011</v>
      </c>
      <c r="K193" s="290">
        <v>2011</v>
      </c>
      <c r="L193" s="363">
        <v>1</v>
      </c>
      <c r="M193" s="363"/>
      <c r="N193" s="363">
        <v>10</v>
      </c>
      <c r="O193" s="351"/>
      <c r="P193" s="351"/>
      <c r="Q193" s="351"/>
      <c r="R193" s="352"/>
      <c r="S193" s="353">
        <v>0.9</v>
      </c>
      <c r="T193" s="354"/>
      <c r="U193" s="354"/>
      <c r="V193" s="354"/>
      <c r="W193" s="355"/>
      <c r="X193" s="356"/>
      <c r="Y193" s="357"/>
      <c r="Z193" s="357"/>
      <c r="AA193" s="357"/>
      <c r="AB193" s="357"/>
      <c r="AC193" s="91"/>
      <c r="AD193" s="91"/>
      <c r="AE193" s="91"/>
      <c r="AF193" s="91"/>
    </row>
    <row r="194" spans="2:32">
      <c r="B194" s="91"/>
      <c r="C194" s="91"/>
      <c r="D194" s="364"/>
      <c r="E194" s="91"/>
      <c r="F194" s="91" t="s">
        <v>791</v>
      </c>
      <c r="G194" s="91"/>
      <c r="H194" s="289"/>
      <c r="I194" s="289"/>
      <c r="J194" s="363">
        <v>2020</v>
      </c>
      <c r="K194" s="226"/>
      <c r="L194" s="226"/>
      <c r="M194" s="226"/>
      <c r="N194" s="226"/>
      <c r="O194" s="357"/>
      <c r="P194" s="357"/>
      <c r="Q194" s="357"/>
      <c r="R194" s="357"/>
      <c r="S194" s="365"/>
      <c r="T194" s="91"/>
      <c r="U194" s="91"/>
      <c r="V194" s="91"/>
      <c r="W194" s="366"/>
      <c r="X194" s="356"/>
      <c r="Y194" s="357"/>
      <c r="Z194" s="357"/>
      <c r="AA194" s="357"/>
      <c r="AB194" s="357"/>
      <c r="AC194" s="91"/>
      <c r="AD194" s="91"/>
      <c r="AE194" s="91"/>
      <c r="AF194" s="91"/>
    </row>
    <row r="195" spans="2:32">
      <c r="B195" s="91"/>
      <c r="C195" s="91"/>
      <c r="D195" s="91"/>
      <c r="E195" s="91"/>
      <c r="F195" s="91" t="s">
        <v>791</v>
      </c>
      <c r="G195" s="91"/>
      <c r="H195" s="289"/>
      <c r="I195" s="289"/>
      <c r="J195" s="363">
        <v>2030</v>
      </c>
      <c r="K195" s="226"/>
      <c r="L195" s="226"/>
      <c r="M195" s="226"/>
      <c r="N195" s="226"/>
      <c r="O195" s="357"/>
      <c r="P195" s="357"/>
      <c r="Q195" s="357"/>
      <c r="R195" s="357"/>
      <c r="S195" s="365"/>
      <c r="T195" s="91"/>
      <c r="U195" s="91"/>
      <c r="V195" s="91"/>
      <c r="W195" s="366"/>
      <c r="X195" s="356"/>
      <c r="Y195" s="357"/>
      <c r="Z195" s="357"/>
      <c r="AA195" s="357"/>
      <c r="AB195" s="357"/>
      <c r="AC195" s="91"/>
      <c r="AD195" s="91"/>
      <c r="AE195" s="91"/>
      <c r="AF195" s="91"/>
    </row>
    <row r="196" spans="2:32">
      <c r="B196" s="91"/>
      <c r="C196" s="91"/>
      <c r="D196" s="48"/>
      <c r="E196" s="48"/>
      <c r="F196" s="91" t="s">
        <v>791</v>
      </c>
      <c r="G196" s="48"/>
      <c r="H196" s="342"/>
      <c r="I196" s="342"/>
      <c r="J196" s="363">
        <v>2050</v>
      </c>
      <c r="K196" s="226"/>
      <c r="L196" s="226"/>
      <c r="M196" s="226"/>
      <c r="N196" s="226"/>
      <c r="O196" s="357"/>
      <c r="P196" s="357"/>
      <c r="Q196" s="357"/>
      <c r="R196" s="357"/>
      <c r="S196" s="365"/>
      <c r="T196" s="91"/>
      <c r="U196" s="91"/>
      <c r="V196" s="91"/>
      <c r="W196" s="366"/>
      <c r="X196" s="356"/>
      <c r="Y196" s="357"/>
      <c r="Z196" s="357"/>
      <c r="AA196" s="357"/>
      <c r="AB196" s="357"/>
      <c r="AC196" s="91"/>
      <c r="AD196" s="91"/>
      <c r="AE196" s="91"/>
      <c r="AF196" s="91"/>
    </row>
    <row r="197" spans="2:32">
      <c r="B197" s="91"/>
      <c r="C197" s="91"/>
      <c r="D197" s="288" t="s">
        <v>928</v>
      </c>
      <c r="E197" s="91" t="s">
        <v>929</v>
      </c>
      <c r="F197" s="91" t="s">
        <v>791</v>
      </c>
      <c r="G197" s="91" t="s">
        <v>930</v>
      </c>
      <c r="H197" s="289" t="s">
        <v>931</v>
      </c>
      <c r="I197" s="289"/>
      <c r="J197" s="290">
        <v>2011</v>
      </c>
      <c r="K197" s="290">
        <v>2011</v>
      </c>
      <c r="L197" s="363">
        <v>1</v>
      </c>
      <c r="M197" s="363"/>
      <c r="N197" s="363">
        <v>10</v>
      </c>
      <c r="O197" s="351"/>
      <c r="P197" s="351"/>
      <c r="Q197" s="351"/>
      <c r="R197" s="352"/>
      <c r="S197" s="353">
        <v>0.9</v>
      </c>
      <c r="T197" s="354"/>
      <c r="U197" s="354"/>
      <c r="V197" s="354"/>
      <c r="W197" s="355"/>
      <c r="X197" s="91"/>
      <c r="Y197" s="91"/>
      <c r="Z197" s="91"/>
      <c r="AA197" s="91"/>
      <c r="AB197" s="91"/>
      <c r="AC197" s="91"/>
      <c r="AD197" s="91"/>
      <c r="AE197" s="91"/>
      <c r="AF197" s="91"/>
    </row>
    <row r="198" spans="2:32">
      <c r="B198" s="91"/>
      <c r="C198" s="91"/>
      <c r="D198" s="91"/>
      <c r="E198" s="91"/>
      <c r="F198" s="91" t="s">
        <v>791</v>
      </c>
      <c r="G198" s="91"/>
      <c r="H198" s="289"/>
      <c r="I198" s="289"/>
      <c r="J198" s="363">
        <v>2020</v>
      </c>
      <c r="K198" s="363"/>
      <c r="L198" s="363"/>
      <c r="M198" s="363"/>
      <c r="N198" s="363"/>
      <c r="O198" s="351"/>
      <c r="P198" s="351"/>
      <c r="Q198" s="351"/>
      <c r="R198" s="352"/>
      <c r="S198" s="353"/>
      <c r="T198" s="354"/>
      <c r="U198" s="354"/>
      <c r="V198" s="354"/>
      <c r="W198" s="354"/>
      <c r="X198" s="91"/>
      <c r="Y198" s="91"/>
      <c r="Z198" s="91"/>
      <c r="AA198" s="91"/>
      <c r="AB198" s="91"/>
      <c r="AC198" s="91"/>
      <c r="AD198" s="91"/>
      <c r="AE198" s="91"/>
      <c r="AF198" s="91"/>
    </row>
    <row r="199" spans="2:32">
      <c r="B199" s="91"/>
      <c r="C199" s="91"/>
      <c r="D199" s="91"/>
      <c r="E199" s="91"/>
      <c r="F199" s="91" t="s">
        <v>791</v>
      </c>
      <c r="G199" s="91"/>
      <c r="H199" s="91"/>
      <c r="I199" s="91"/>
      <c r="J199" s="363">
        <v>2030</v>
      </c>
      <c r="K199" s="363"/>
      <c r="L199" s="363"/>
      <c r="M199" s="363"/>
      <c r="N199" s="363"/>
      <c r="O199" s="351"/>
      <c r="P199" s="351"/>
      <c r="Q199" s="351"/>
      <c r="R199" s="352"/>
      <c r="S199" s="353"/>
      <c r="T199" s="354"/>
      <c r="U199" s="354"/>
      <c r="V199" s="354"/>
      <c r="W199" s="354"/>
      <c r="X199" s="91"/>
      <c r="Y199" s="91"/>
      <c r="Z199" s="91"/>
      <c r="AA199" s="91"/>
      <c r="AB199" s="91"/>
      <c r="AC199" s="91"/>
      <c r="AD199" s="91"/>
      <c r="AE199" s="91"/>
      <c r="AF199" s="91"/>
    </row>
    <row r="200" spans="2:32">
      <c r="B200" s="91"/>
      <c r="C200" s="91"/>
      <c r="D200" s="91"/>
      <c r="E200" s="91"/>
      <c r="F200" s="91" t="s">
        <v>791</v>
      </c>
      <c r="G200" s="91"/>
      <c r="H200" s="91"/>
      <c r="I200" s="91"/>
      <c r="J200" s="363">
        <v>2050</v>
      </c>
      <c r="K200" s="363"/>
      <c r="L200" s="363"/>
      <c r="M200" s="363"/>
      <c r="N200" s="363"/>
      <c r="O200" s="351"/>
      <c r="P200" s="351"/>
      <c r="Q200" s="351"/>
      <c r="R200" s="352"/>
      <c r="S200" s="353"/>
      <c r="T200" s="354"/>
      <c r="U200" s="354"/>
      <c r="V200" s="354"/>
      <c r="W200" s="354"/>
      <c r="X200" s="91"/>
      <c r="Y200" s="91"/>
      <c r="Z200" s="91"/>
      <c r="AA200" s="91"/>
      <c r="AB200" s="91"/>
      <c r="AC200" s="91"/>
      <c r="AD200" s="91"/>
      <c r="AE200" s="91"/>
      <c r="AF200" s="91"/>
    </row>
    <row r="201" spans="2:32">
      <c r="B201" s="91"/>
      <c r="C201" s="91"/>
      <c r="D201" s="288" t="s">
        <v>932</v>
      </c>
      <c r="E201" s="91" t="s">
        <v>933</v>
      </c>
      <c r="F201" s="91" t="s">
        <v>791</v>
      </c>
      <c r="G201" s="91" t="s">
        <v>934</v>
      </c>
      <c r="H201" s="91" t="s">
        <v>935</v>
      </c>
      <c r="I201" s="91"/>
      <c r="J201" s="290">
        <v>2011</v>
      </c>
      <c r="K201" s="290">
        <v>2011</v>
      </c>
      <c r="L201" s="363">
        <v>1</v>
      </c>
      <c r="M201" s="363"/>
      <c r="N201" s="363">
        <v>10</v>
      </c>
      <c r="O201" s="351"/>
      <c r="P201" s="351"/>
      <c r="Q201" s="351"/>
      <c r="R201" s="352"/>
      <c r="S201" s="353">
        <v>0.9</v>
      </c>
      <c r="T201" s="354"/>
      <c r="U201" s="354"/>
      <c r="V201" s="354"/>
      <c r="W201" s="354"/>
      <c r="X201" s="91"/>
      <c r="Y201" s="91"/>
      <c r="Z201" s="91"/>
      <c r="AA201" s="91"/>
      <c r="AB201" s="91"/>
      <c r="AC201" s="91"/>
      <c r="AD201" s="91"/>
      <c r="AE201" s="91"/>
      <c r="AF201" s="91"/>
    </row>
    <row r="202" spans="2:32">
      <c r="B202" s="91"/>
      <c r="C202" s="91"/>
      <c r="D202" s="91"/>
      <c r="E202" s="91"/>
      <c r="F202" s="91" t="s">
        <v>791</v>
      </c>
      <c r="G202" s="91"/>
      <c r="H202" s="289"/>
      <c r="I202" s="289"/>
      <c r="J202" s="363">
        <v>2020</v>
      </c>
      <c r="K202" s="363"/>
      <c r="L202" s="363"/>
      <c r="M202" s="363"/>
      <c r="N202" s="226"/>
      <c r="O202" s="357"/>
      <c r="P202" s="357"/>
      <c r="Q202" s="357"/>
      <c r="R202" s="357"/>
      <c r="S202" s="365"/>
      <c r="T202" s="91"/>
      <c r="U202" s="91"/>
      <c r="V202" s="91"/>
      <c r="W202" s="91"/>
      <c r="X202" s="91"/>
      <c r="Y202" s="91"/>
      <c r="Z202" s="91"/>
      <c r="AA202" s="91"/>
      <c r="AB202" s="91"/>
      <c r="AC202" s="91"/>
      <c r="AD202" s="91"/>
      <c r="AE202" s="91"/>
      <c r="AF202" s="91"/>
    </row>
    <row r="203" spans="2:32">
      <c r="B203" s="91"/>
      <c r="C203" s="91"/>
      <c r="D203" s="91"/>
      <c r="E203" s="91"/>
      <c r="F203" s="91" t="s">
        <v>791</v>
      </c>
      <c r="G203" s="91"/>
      <c r="H203" s="91"/>
      <c r="I203" s="91"/>
      <c r="J203" s="363">
        <v>2030</v>
      </c>
      <c r="K203" s="363"/>
      <c r="L203" s="363"/>
      <c r="M203" s="363"/>
      <c r="N203" s="226"/>
      <c r="O203" s="357"/>
      <c r="P203" s="357"/>
      <c r="Q203" s="357"/>
      <c r="R203" s="357"/>
      <c r="S203" s="365"/>
      <c r="T203" s="91"/>
      <c r="U203" s="91"/>
      <c r="V203" s="91"/>
      <c r="W203" s="91"/>
      <c r="X203" s="91"/>
      <c r="Y203" s="91"/>
      <c r="Z203" s="91"/>
      <c r="AA203" s="91"/>
      <c r="AB203" s="91"/>
      <c r="AC203" s="91"/>
      <c r="AD203" s="91"/>
      <c r="AE203" s="91"/>
      <c r="AF203" s="91"/>
    </row>
    <row r="204" spans="2:32">
      <c r="B204" s="91"/>
      <c r="C204" s="91"/>
      <c r="D204" s="91"/>
      <c r="E204" s="91"/>
      <c r="F204" s="91" t="s">
        <v>791</v>
      </c>
      <c r="G204" s="91"/>
      <c r="H204" s="289"/>
      <c r="I204" s="289"/>
      <c r="J204" s="363">
        <v>2050</v>
      </c>
      <c r="K204" s="363"/>
      <c r="L204" s="363"/>
      <c r="M204" s="363"/>
      <c r="N204" s="226"/>
      <c r="O204" s="357"/>
      <c r="P204" s="357"/>
      <c r="Q204" s="357"/>
      <c r="R204" s="357"/>
      <c r="S204" s="365"/>
      <c r="T204" s="91"/>
      <c r="U204" s="91"/>
      <c r="V204" s="91"/>
      <c r="W204" s="91"/>
      <c r="X204" s="91"/>
      <c r="Y204" s="91"/>
      <c r="Z204" s="91"/>
      <c r="AA204" s="91"/>
      <c r="AB204" s="91"/>
      <c r="AC204" s="91"/>
      <c r="AD204" s="91"/>
      <c r="AE204" s="91"/>
      <c r="AF204" s="91"/>
    </row>
    <row r="205" spans="2:32">
      <c r="B205" s="91"/>
      <c r="C205" s="91"/>
      <c r="D205" s="91"/>
      <c r="E205" s="91"/>
      <c r="F205" s="91"/>
      <c r="G205" s="91"/>
      <c r="H205" s="91"/>
      <c r="I205" s="91"/>
      <c r="J205" s="91"/>
      <c r="K205" s="91"/>
      <c r="L205" s="91"/>
      <c r="M205" s="91"/>
      <c r="N205" s="91"/>
      <c r="O205" s="91"/>
      <c r="P205" s="91"/>
      <c r="Q205" s="91"/>
      <c r="R205" s="91"/>
      <c r="S205" s="91"/>
      <c r="T205" s="91"/>
      <c r="U205" s="91"/>
      <c r="V205" s="91"/>
      <c r="W205" s="91"/>
      <c r="X205" s="91"/>
      <c r="Y205" s="91"/>
      <c r="Z205" s="91"/>
      <c r="AA205" s="91"/>
      <c r="AB205" s="91"/>
      <c r="AC205" s="91"/>
      <c r="AD205" s="91"/>
      <c r="AE205" s="91"/>
      <c r="AF205" s="91"/>
    </row>
    <row r="206" spans="2:32">
      <c r="B206" s="91"/>
      <c r="C206" s="91"/>
      <c r="D206" s="91"/>
      <c r="E206" s="91"/>
      <c r="F206" s="91"/>
      <c r="G206" s="91"/>
      <c r="H206" s="91"/>
      <c r="I206" s="91"/>
      <c r="J206" s="91"/>
      <c r="K206" s="91"/>
      <c r="L206" s="91"/>
      <c r="M206" s="91"/>
      <c r="N206" s="91"/>
      <c r="O206" s="91"/>
      <c r="P206" s="91"/>
      <c r="Q206" s="91"/>
      <c r="R206" s="91"/>
      <c r="S206" s="91"/>
      <c r="T206" s="91"/>
      <c r="U206" s="91"/>
      <c r="V206" s="91"/>
      <c r="W206" s="91"/>
      <c r="X206" s="91"/>
      <c r="Y206" s="91"/>
      <c r="Z206" s="91"/>
      <c r="AA206" s="91"/>
      <c r="AB206" s="91"/>
      <c r="AC206" s="91"/>
      <c r="AD206" s="91"/>
      <c r="AE206" s="91"/>
      <c r="AF206" s="91"/>
    </row>
    <row r="207" spans="2:32">
      <c r="B207" s="91"/>
      <c r="C207" s="91"/>
      <c r="D207" s="91"/>
      <c r="E207" s="91"/>
      <c r="F207" s="91"/>
      <c r="G207" s="91"/>
      <c r="H207" s="91"/>
      <c r="I207" s="91"/>
      <c r="J207" s="91"/>
      <c r="K207" s="91"/>
      <c r="L207" s="91"/>
      <c r="M207" s="91"/>
      <c r="N207" s="91"/>
      <c r="O207" s="91"/>
      <c r="P207" s="91"/>
      <c r="Q207" s="91"/>
      <c r="R207" s="91"/>
      <c r="S207" s="91"/>
      <c r="T207" s="91"/>
      <c r="U207" s="91"/>
      <c r="V207" s="91"/>
      <c r="W207" s="91"/>
      <c r="X207" s="91"/>
      <c r="Y207" s="91"/>
      <c r="Z207" s="91"/>
      <c r="AA207" s="91"/>
      <c r="AB207" s="91"/>
      <c r="AC207" s="91"/>
      <c r="AD207" s="91"/>
      <c r="AE207" s="91"/>
      <c r="AF207" s="91"/>
    </row>
    <row r="208" spans="2:32">
      <c r="B208" s="91"/>
      <c r="C208" s="91"/>
      <c r="D208" s="91"/>
      <c r="E208" s="91"/>
      <c r="F208" s="91"/>
      <c r="G208" s="91"/>
      <c r="H208" s="91"/>
      <c r="I208" s="91"/>
      <c r="J208" s="91"/>
      <c r="K208" s="91"/>
      <c r="L208" s="91"/>
      <c r="M208" s="91"/>
      <c r="N208" s="91"/>
      <c r="O208" s="91"/>
      <c r="P208" s="91"/>
      <c r="Q208" s="91"/>
      <c r="R208" s="91"/>
      <c r="S208" s="91"/>
      <c r="T208" s="91"/>
      <c r="U208" s="91"/>
      <c r="V208" s="91"/>
      <c r="W208" s="91"/>
      <c r="X208" s="91"/>
      <c r="Y208" s="91"/>
      <c r="Z208" s="91"/>
      <c r="AA208" s="91"/>
      <c r="AB208" s="91"/>
      <c r="AC208" s="91"/>
      <c r="AD208" s="91"/>
      <c r="AE208" s="91"/>
      <c r="AF208" s="91"/>
    </row>
    <row r="209" spans="2:32">
      <c r="B209" s="91"/>
      <c r="C209" s="367" t="s">
        <v>954</v>
      </c>
      <c r="D209" s="368"/>
      <c r="E209" s="368"/>
      <c r="F209" s="368"/>
      <c r="G209" s="368"/>
      <c r="H209" s="368"/>
      <c r="I209" s="368"/>
      <c r="J209" s="368"/>
      <c r="K209" s="368"/>
      <c r="L209" s="91"/>
      <c r="M209" s="91"/>
      <c r="N209" s="91"/>
      <c r="O209" s="91"/>
      <c r="P209" s="91"/>
      <c r="Q209" s="91"/>
      <c r="R209" s="91"/>
      <c r="S209" s="91"/>
      <c r="T209" s="91"/>
      <c r="U209" s="91"/>
      <c r="V209" s="91"/>
      <c r="W209" s="91"/>
      <c r="X209" s="91"/>
      <c r="Y209" s="91"/>
      <c r="Z209" s="91"/>
      <c r="AA209" s="91"/>
      <c r="AB209" s="91"/>
      <c r="AC209" s="91"/>
      <c r="AD209" s="91"/>
      <c r="AE209" s="91"/>
      <c r="AF209" s="91"/>
    </row>
    <row r="210" spans="2:32" ht="27.6">
      <c r="B210" s="91"/>
      <c r="C210" s="369" t="s">
        <v>27</v>
      </c>
      <c r="D210" s="369" t="s">
        <v>1</v>
      </c>
      <c r="E210" s="369" t="s">
        <v>28</v>
      </c>
      <c r="F210" s="369" t="s">
        <v>29</v>
      </c>
      <c r="G210" s="369" t="s">
        <v>30</v>
      </c>
      <c r="H210" s="369" t="s">
        <v>31</v>
      </c>
      <c r="I210" s="369"/>
      <c r="J210" s="369" t="s">
        <v>32</v>
      </c>
      <c r="K210" s="369" t="s">
        <v>33</v>
      </c>
      <c r="L210" s="91"/>
      <c r="M210" s="91"/>
      <c r="N210" s="91"/>
      <c r="O210" s="91"/>
      <c r="P210" s="91"/>
      <c r="Q210" s="91"/>
      <c r="R210" s="91"/>
      <c r="S210" s="91"/>
      <c r="T210" s="91"/>
      <c r="U210" s="91"/>
      <c r="V210" s="91"/>
      <c r="W210" s="91"/>
      <c r="X210" s="91"/>
      <c r="Y210" s="91"/>
      <c r="Z210" s="91"/>
      <c r="AA210" s="91"/>
      <c r="AB210" s="91"/>
      <c r="AC210" s="91"/>
      <c r="AD210" s="91"/>
      <c r="AE210" s="91"/>
      <c r="AF210" s="91"/>
    </row>
    <row r="211" spans="2:32" ht="41.4" thickBot="1">
      <c r="B211" s="91"/>
      <c r="C211" s="370" t="s">
        <v>34</v>
      </c>
      <c r="D211" s="370" t="s">
        <v>35</v>
      </c>
      <c r="E211" s="370" t="s">
        <v>36</v>
      </c>
      <c r="F211" s="370" t="s">
        <v>37</v>
      </c>
      <c r="G211" s="370" t="s">
        <v>38</v>
      </c>
      <c r="H211" s="370" t="s">
        <v>39</v>
      </c>
      <c r="I211" s="370"/>
      <c r="J211" s="370" t="s">
        <v>40</v>
      </c>
      <c r="K211" s="370" t="s">
        <v>41</v>
      </c>
      <c r="L211" s="91"/>
      <c r="M211" s="91"/>
      <c r="N211" s="91"/>
      <c r="O211" s="91"/>
      <c r="P211" s="91"/>
      <c r="Q211" s="91"/>
      <c r="R211" s="91"/>
      <c r="S211" s="91"/>
      <c r="T211" s="91"/>
      <c r="U211" s="91"/>
      <c r="V211" s="91"/>
      <c r="W211" s="91"/>
      <c r="X211" s="91"/>
      <c r="Y211" s="91"/>
      <c r="Z211" s="91"/>
      <c r="AA211" s="91"/>
      <c r="AB211" s="91"/>
      <c r="AC211" s="91"/>
      <c r="AD211" s="91"/>
      <c r="AE211" s="91"/>
      <c r="AF211" s="91"/>
    </row>
    <row r="212" spans="2:32">
      <c r="B212" s="91"/>
      <c r="C212" s="368" t="s">
        <v>936</v>
      </c>
      <c r="D212" s="288" t="s">
        <v>789</v>
      </c>
      <c r="E212" s="288" t="s">
        <v>790</v>
      </c>
      <c r="F212" s="368" t="s">
        <v>188</v>
      </c>
      <c r="G212" s="368" t="s">
        <v>189</v>
      </c>
      <c r="H212" s="371"/>
      <c r="I212" s="371"/>
      <c r="J212" s="371"/>
      <c r="K212" s="368" t="s">
        <v>937</v>
      </c>
      <c r="L212" s="91"/>
      <c r="M212" s="91"/>
      <c r="N212" s="91"/>
      <c r="O212" s="91"/>
      <c r="P212" s="91"/>
      <c r="Q212" s="91"/>
      <c r="R212" s="91"/>
      <c r="S212" s="91"/>
      <c r="T212" s="91"/>
      <c r="U212" s="91"/>
      <c r="V212" s="91"/>
      <c r="W212" s="91"/>
      <c r="X212" s="91"/>
      <c r="Y212" s="91"/>
      <c r="Z212" s="91"/>
      <c r="AA212" s="91"/>
      <c r="AB212" s="91"/>
      <c r="AC212" s="91"/>
      <c r="AD212" s="91"/>
      <c r="AE212" s="91"/>
      <c r="AF212" s="91"/>
    </row>
    <row r="213" spans="2:32">
      <c r="B213" s="371"/>
      <c r="C213" s="371"/>
      <c r="D213" s="288" t="s">
        <v>793</v>
      </c>
      <c r="E213" s="288" t="s">
        <v>794</v>
      </c>
      <c r="F213" s="368" t="s">
        <v>188</v>
      </c>
      <c r="G213" s="368" t="s">
        <v>189</v>
      </c>
      <c r="H213" s="371"/>
      <c r="I213" s="371"/>
      <c r="J213" s="371"/>
      <c r="K213" s="368" t="s">
        <v>937</v>
      </c>
      <c r="L213" s="91"/>
      <c r="M213" s="91"/>
      <c r="N213" s="91"/>
      <c r="O213" s="91"/>
      <c r="P213" s="91"/>
      <c r="Q213" s="91"/>
      <c r="R213" s="91"/>
      <c r="S213" s="91"/>
      <c r="T213" s="91"/>
      <c r="U213" s="91"/>
      <c r="V213" s="91"/>
      <c r="W213" s="91"/>
      <c r="X213" s="91"/>
      <c r="Y213" s="91"/>
      <c r="Z213" s="91"/>
      <c r="AA213" s="91"/>
      <c r="AB213" s="91"/>
      <c r="AC213" s="91"/>
      <c r="AD213" s="91"/>
      <c r="AE213" s="91"/>
      <c r="AF213" s="91"/>
    </row>
    <row r="214" spans="2:32">
      <c r="B214" s="91"/>
      <c r="C214" s="91"/>
      <c r="D214" s="288" t="s">
        <v>797</v>
      </c>
      <c r="E214" s="288" t="s">
        <v>798</v>
      </c>
      <c r="F214" s="368" t="s">
        <v>188</v>
      </c>
      <c r="G214" s="368" t="s">
        <v>189</v>
      </c>
      <c r="H214" s="368"/>
      <c r="I214" s="368"/>
      <c r="J214" s="368"/>
      <c r="K214" s="368" t="s">
        <v>937</v>
      </c>
      <c r="L214" s="91"/>
      <c r="M214" s="91"/>
      <c r="N214" s="91"/>
      <c r="O214" s="91"/>
      <c r="P214" s="91"/>
      <c r="Q214" s="91"/>
      <c r="R214" s="91"/>
      <c r="S214" s="91"/>
      <c r="T214" s="91"/>
      <c r="U214" s="91"/>
      <c r="V214" s="91"/>
      <c r="W214" s="91"/>
      <c r="X214" s="91"/>
      <c r="Y214" s="91"/>
      <c r="Z214" s="91"/>
      <c r="AA214" s="91"/>
      <c r="AB214" s="91"/>
      <c r="AC214" s="91"/>
      <c r="AD214" s="91"/>
      <c r="AE214" s="91"/>
      <c r="AF214" s="91"/>
    </row>
    <row r="215" spans="2:32">
      <c r="B215" s="368"/>
      <c r="C215" s="368"/>
      <c r="D215" s="288" t="s">
        <v>799</v>
      </c>
      <c r="E215" s="288" t="s">
        <v>800</v>
      </c>
      <c r="F215" s="368" t="s">
        <v>188</v>
      </c>
      <c r="G215" s="368" t="s">
        <v>189</v>
      </c>
      <c r="H215" s="368"/>
      <c r="I215" s="368"/>
      <c r="J215" s="368"/>
      <c r="K215" s="368" t="s">
        <v>937</v>
      </c>
      <c r="L215" s="91"/>
      <c r="M215" s="91"/>
      <c r="N215" s="91"/>
      <c r="O215" s="91"/>
      <c r="P215" s="91"/>
      <c r="Q215" s="91"/>
      <c r="R215" s="91"/>
      <c r="S215" s="91"/>
      <c r="T215" s="91"/>
      <c r="U215" s="91"/>
      <c r="V215" s="91"/>
      <c r="W215" s="91"/>
      <c r="X215" s="91"/>
      <c r="Y215" s="91"/>
      <c r="Z215" s="91"/>
      <c r="AA215" s="91"/>
      <c r="AB215" s="91"/>
      <c r="AC215" s="91"/>
      <c r="AD215" s="91"/>
      <c r="AE215" s="91"/>
      <c r="AF215" s="91"/>
    </row>
    <row r="216" spans="2:32">
      <c r="B216" s="368"/>
      <c r="C216" s="368"/>
      <c r="D216" s="288" t="s">
        <v>802</v>
      </c>
      <c r="E216" s="288" t="s">
        <v>803</v>
      </c>
      <c r="F216" s="368" t="s">
        <v>188</v>
      </c>
      <c r="G216" s="368" t="s">
        <v>189</v>
      </c>
      <c r="H216" s="368"/>
      <c r="I216" s="368"/>
      <c r="J216" s="368"/>
      <c r="K216" s="368" t="s">
        <v>937</v>
      </c>
      <c r="L216" s="91"/>
      <c r="M216" s="91"/>
      <c r="N216" s="91"/>
      <c r="O216" s="91"/>
      <c r="P216" s="91"/>
      <c r="Q216" s="91"/>
      <c r="R216" s="91"/>
      <c r="S216" s="91"/>
      <c r="T216" s="91"/>
      <c r="U216" s="91"/>
      <c r="V216" s="91"/>
      <c r="W216" s="91"/>
      <c r="X216" s="91"/>
      <c r="Y216" s="91"/>
      <c r="Z216" s="91"/>
      <c r="AA216" s="91"/>
      <c r="AB216" s="91"/>
      <c r="AC216" s="91"/>
      <c r="AD216" s="91"/>
      <c r="AE216" s="91"/>
      <c r="AF216" s="91"/>
    </row>
    <row r="217" spans="2:32">
      <c r="B217" s="368"/>
      <c r="C217" s="368"/>
      <c r="D217" s="288" t="s">
        <v>804</v>
      </c>
      <c r="E217" s="288" t="s">
        <v>805</v>
      </c>
      <c r="F217" s="368" t="s">
        <v>188</v>
      </c>
      <c r="G217" s="368" t="s">
        <v>189</v>
      </c>
      <c r="H217" s="368"/>
      <c r="I217" s="368"/>
      <c r="J217" s="368"/>
      <c r="K217" s="368" t="s">
        <v>937</v>
      </c>
      <c r="L217" s="91"/>
      <c r="M217" s="91"/>
      <c r="N217" s="91"/>
      <c r="O217" s="91"/>
      <c r="P217" s="91"/>
      <c r="Q217" s="91"/>
      <c r="R217" s="91"/>
      <c r="S217" s="91"/>
      <c r="T217" s="91"/>
      <c r="U217" s="91"/>
      <c r="V217" s="91"/>
      <c r="W217" s="91"/>
      <c r="X217" s="91"/>
      <c r="Y217" s="91"/>
      <c r="Z217" s="91"/>
      <c r="AA217" s="91"/>
      <c r="AB217" s="91"/>
      <c r="AC217" s="91"/>
      <c r="AD217" s="91"/>
      <c r="AE217" s="91"/>
      <c r="AF217" s="91"/>
    </row>
    <row r="218" spans="2:32">
      <c r="B218" s="368"/>
      <c r="C218" s="368"/>
      <c r="D218" s="288" t="s">
        <v>807</v>
      </c>
      <c r="E218" s="288" t="s">
        <v>808</v>
      </c>
      <c r="F218" s="368" t="s">
        <v>188</v>
      </c>
      <c r="G218" s="368" t="s">
        <v>189</v>
      </c>
      <c r="H218" s="368"/>
      <c r="I218" s="368"/>
      <c r="J218" s="368"/>
      <c r="K218" s="368" t="s">
        <v>937</v>
      </c>
      <c r="L218" s="91"/>
      <c r="M218" s="91"/>
      <c r="N218" s="91"/>
      <c r="O218" s="91"/>
      <c r="P218" s="91"/>
      <c r="Q218" s="91"/>
      <c r="R218" s="91"/>
      <c r="S218" s="91"/>
      <c r="T218" s="91"/>
      <c r="U218" s="91"/>
      <c r="V218" s="91"/>
      <c r="W218" s="91"/>
      <c r="X218" s="91"/>
      <c r="Y218" s="91"/>
      <c r="Z218" s="91"/>
      <c r="AA218" s="91"/>
      <c r="AB218" s="91"/>
      <c r="AC218" s="91"/>
      <c r="AD218" s="91"/>
      <c r="AE218" s="91"/>
      <c r="AF218" s="91"/>
    </row>
    <row r="219" spans="2:32">
      <c r="B219" s="368"/>
      <c r="C219" s="368"/>
      <c r="D219" s="288" t="s">
        <v>809</v>
      </c>
      <c r="E219" s="288" t="s">
        <v>810</v>
      </c>
      <c r="F219" s="368" t="s">
        <v>188</v>
      </c>
      <c r="G219" s="368" t="s">
        <v>189</v>
      </c>
      <c r="H219" s="368"/>
      <c r="I219" s="368"/>
      <c r="J219" s="368"/>
      <c r="K219" s="368" t="s">
        <v>937</v>
      </c>
      <c r="L219" s="91"/>
      <c r="M219" s="91"/>
      <c r="N219" s="91"/>
      <c r="O219" s="91"/>
      <c r="P219" s="91"/>
      <c r="Q219" s="91"/>
      <c r="R219" s="91"/>
      <c r="S219" s="91"/>
      <c r="T219" s="91"/>
      <c r="U219" s="91"/>
      <c r="V219" s="91"/>
      <c r="W219" s="91"/>
      <c r="X219" s="91"/>
      <c r="Y219" s="91"/>
      <c r="Z219" s="91"/>
      <c r="AA219" s="91"/>
      <c r="AB219" s="91"/>
      <c r="AC219" s="91"/>
      <c r="AD219" s="91"/>
      <c r="AE219" s="91"/>
      <c r="AF219" s="91"/>
    </row>
    <row r="220" spans="2:32">
      <c r="B220" s="368"/>
      <c r="C220" s="368"/>
      <c r="D220" s="288" t="s">
        <v>812</v>
      </c>
      <c r="E220" s="288" t="s">
        <v>813</v>
      </c>
      <c r="F220" s="368" t="s">
        <v>188</v>
      </c>
      <c r="G220" s="368" t="s">
        <v>189</v>
      </c>
      <c r="H220" s="368"/>
      <c r="I220" s="368"/>
      <c r="J220" s="368"/>
      <c r="K220" s="368" t="s">
        <v>937</v>
      </c>
      <c r="L220" s="91"/>
      <c r="M220" s="91"/>
      <c r="N220" s="91"/>
      <c r="O220" s="91"/>
      <c r="P220" s="91"/>
      <c r="Q220" s="91"/>
      <c r="R220" s="91"/>
      <c r="S220" s="91"/>
      <c r="T220" s="91"/>
      <c r="U220" s="91"/>
      <c r="V220" s="91"/>
      <c r="W220" s="91"/>
      <c r="X220" s="91"/>
      <c r="Y220" s="91"/>
      <c r="Z220" s="91"/>
      <c r="AA220" s="91"/>
      <c r="AB220" s="91"/>
      <c r="AC220" s="91"/>
      <c r="AD220" s="91"/>
      <c r="AE220" s="91"/>
      <c r="AF220" s="91"/>
    </row>
    <row r="221" spans="2:32">
      <c r="B221" s="368"/>
      <c r="C221" s="368"/>
      <c r="D221" s="288" t="s">
        <v>815</v>
      </c>
      <c r="E221" s="288" t="s">
        <v>816</v>
      </c>
      <c r="F221" s="368" t="s">
        <v>188</v>
      </c>
      <c r="G221" s="368" t="s">
        <v>189</v>
      </c>
      <c r="H221" s="368"/>
      <c r="I221" s="368"/>
      <c r="J221" s="368"/>
      <c r="K221" s="368" t="s">
        <v>937</v>
      </c>
      <c r="L221" s="91"/>
      <c r="M221" s="91"/>
      <c r="N221" s="91"/>
      <c r="O221" s="91"/>
      <c r="P221" s="91"/>
      <c r="Q221" s="91"/>
      <c r="R221" s="91"/>
      <c r="S221" s="91"/>
      <c r="T221" s="91"/>
      <c r="U221" s="91"/>
      <c r="V221" s="91"/>
      <c r="W221" s="91"/>
      <c r="X221" s="91"/>
      <c r="Y221" s="91"/>
      <c r="Z221" s="91"/>
      <c r="AA221" s="91"/>
      <c r="AB221" s="91"/>
      <c r="AC221" s="91"/>
      <c r="AD221" s="91"/>
      <c r="AE221" s="91"/>
      <c r="AF221" s="91"/>
    </row>
    <row r="222" spans="2:32">
      <c r="B222" s="368"/>
      <c r="C222" s="368"/>
      <c r="D222" s="288" t="s">
        <v>819</v>
      </c>
      <c r="E222" s="288" t="s">
        <v>820</v>
      </c>
      <c r="F222" s="368" t="s">
        <v>188</v>
      </c>
      <c r="G222" s="368" t="s">
        <v>189</v>
      </c>
      <c r="H222" s="368"/>
      <c r="I222" s="368"/>
      <c r="J222" s="368"/>
      <c r="K222" s="368" t="s">
        <v>937</v>
      </c>
      <c r="L222" s="91"/>
      <c r="M222" s="91"/>
      <c r="N222" s="91"/>
      <c r="O222" s="91"/>
      <c r="P222" s="91"/>
      <c r="Q222" s="91"/>
      <c r="R222" s="91"/>
      <c r="S222" s="91"/>
      <c r="T222" s="91"/>
      <c r="U222" s="91"/>
      <c r="V222" s="91"/>
      <c r="W222" s="91"/>
      <c r="X222" s="91"/>
      <c r="Y222" s="91"/>
      <c r="Z222" s="91"/>
      <c r="AA222" s="91"/>
      <c r="AB222" s="91"/>
      <c r="AC222" s="91"/>
      <c r="AD222" s="91"/>
      <c r="AE222" s="91"/>
      <c r="AF222" s="91"/>
    </row>
    <row r="223" spans="2:32">
      <c r="B223" s="368"/>
      <c r="C223" s="368"/>
      <c r="D223" s="288" t="s">
        <v>822</v>
      </c>
      <c r="E223" s="288" t="s">
        <v>823</v>
      </c>
      <c r="F223" s="368" t="s">
        <v>188</v>
      </c>
      <c r="G223" s="368" t="s">
        <v>189</v>
      </c>
      <c r="H223" s="368"/>
      <c r="I223" s="368"/>
      <c r="J223" s="368"/>
      <c r="K223" s="368" t="s">
        <v>937</v>
      </c>
      <c r="L223" s="91"/>
      <c r="M223" s="91"/>
      <c r="N223" s="91"/>
      <c r="O223" s="91"/>
      <c r="P223" s="91"/>
      <c r="Q223" s="91"/>
      <c r="R223" s="91"/>
      <c r="S223" s="91"/>
      <c r="T223" s="91"/>
      <c r="U223" s="91"/>
      <c r="V223" s="91"/>
      <c r="W223" s="91"/>
      <c r="X223" s="91"/>
      <c r="Y223" s="91"/>
      <c r="Z223" s="91"/>
      <c r="AA223" s="91"/>
      <c r="AB223" s="91"/>
      <c r="AC223" s="91"/>
      <c r="AD223" s="91"/>
      <c r="AE223" s="91"/>
      <c r="AF223" s="91"/>
    </row>
    <row r="224" spans="2:32">
      <c r="B224" s="368"/>
      <c r="C224" s="368"/>
      <c r="D224" s="288" t="s">
        <v>825</v>
      </c>
      <c r="E224" s="288" t="s">
        <v>826</v>
      </c>
      <c r="F224" s="368" t="s">
        <v>188</v>
      </c>
      <c r="G224" s="368" t="s">
        <v>189</v>
      </c>
      <c r="H224" s="368"/>
      <c r="I224" s="368"/>
      <c r="J224" s="368"/>
      <c r="K224" s="368" t="s">
        <v>937</v>
      </c>
      <c r="L224" s="91"/>
      <c r="M224" s="91"/>
      <c r="N224" s="91"/>
      <c r="O224" s="91"/>
      <c r="P224" s="91"/>
      <c r="Q224" s="91"/>
      <c r="R224" s="91"/>
      <c r="S224" s="91"/>
      <c r="T224" s="91"/>
      <c r="U224" s="91"/>
      <c r="V224" s="91"/>
      <c r="W224" s="91"/>
      <c r="X224" s="91"/>
      <c r="Y224" s="91"/>
      <c r="Z224" s="91"/>
      <c r="AA224" s="91"/>
      <c r="AB224" s="91"/>
      <c r="AC224" s="91"/>
      <c r="AD224" s="91"/>
      <c r="AE224" s="91"/>
      <c r="AF224" s="91"/>
    </row>
    <row r="225" spans="2:32">
      <c r="B225" s="368"/>
      <c r="C225" s="368"/>
      <c r="D225" s="288" t="s">
        <v>827</v>
      </c>
      <c r="E225" s="288" t="s">
        <v>828</v>
      </c>
      <c r="F225" s="368" t="s">
        <v>188</v>
      </c>
      <c r="G225" s="368" t="s">
        <v>189</v>
      </c>
      <c r="H225" s="368"/>
      <c r="I225" s="368"/>
      <c r="J225" s="368"/>
      <c r="K225" s="368" t="s">
        <v>937</v>
      </c>
      <c r="L225" s="91"/>
      <c r="M225" s="91"/>
      <c r="N225" s="91"/>
      <c r="O225" s="91"/>
      <c r="P225" s="91"/>
      <c r="Q225" s="91"/>
      <c r="R225" s="91"/>
      <c r="S225" s="91"/>
      <c r="T225" s="91"/>
      <c r="U225" s="91"/>
      <c r="V225" s="91"/>
      <c r="W225" s="91"/>
      <c r="X225" s="91"/>
      <c r="Y225" s="91"/>
      <c r="Z225" s="91"/>
      <c r="AA225" s="91"/>
      <c r="AB225" s="91"/>
      <c r="AC225" s="91"/>
      <c r="AD225" s="91"/>
      <c r="AE225" s="91"/>
      <c r="AF225" s="91"/>
    </row>
    <row r="226" spans="2:32">
      <c r="B226" s="368"/>
      <c r="C226" s="368"/>
      <c r="D226" s="288" t="s">
        <v>829</v>
      </c>
      <c r="E226" s="288" t="s">
        <v>830</v>
      </c>
      <c r="F226" s="368" t="s">
        <v>188</v>
      </c>
      <c r="G226" s="368" t="s">
        <v>189</v>
      </c>
      <c r="H226" s="368"/>
      <c r="I226" s="368"/>
      <c r="J226" s="368"/>
      <c r="K226" s="368" t="s">
        <v>937</v>
      </c>
      <c r="L226" s="91"/>
      <c r="M226" s="91"/>
      <c r="N226" s="91"/>
      <c r="O226" s="91"/>
      <c r="P226" s="91"/>
      <c r="Q226" s="289"/>
      <c r="R226" s="91"/>
      <c r="S226" s="91"/>
      <c r="T226" s="91"/>
      <c r="U226" s="91"/>
      <c r="V226" s="91"/>
      <c r="W226" s="91"/>
      <c r="X226" s="91"/>
      <c r="Y226" s="91"/>
      <c r="Z226" s="91"/>
      <c r="AA226" s="91"/>
      <c r="AB226" s="91"/>
      <c r="AC226" s="91"/>
      <c r="AD226" s="91"/>
      <c r="AE226" s="91"/>
      <c r="AF226" s="91"/>
    </row>
    <row r="227" spans="2:32">
      <c r="B227" s="368"/>
      <c r="C227" s="368"/>
      <c r="D227" s="288" t="s">
        <v>831</v>
      </c>
      <c r="E227" s="288" t="s">
        <v>832</v>
      </c>
      <c r="F227" s="368" t="s">
        <v>188</v>
      </c>
      <c r="G227" s="368" t="s">
        <v>189</v>
      </c>
      <c r="H227" s="368"/>
      <c r="I227" s="368"/>
      <c r="J227" s="368"/>
      <c r="K227" s="368" t="s">
        <v>937</v>
      </c>
      <c r="L227" s="91"/>
      <c r="M227" s="91"/>
      <c r="N227" s="91"/>
      <c r="O227" s="91"/>
      <c r="P227" s="91"/>
      <c r="Q227" s="289"/>
      <c r="R227" s="91"/>
      <c r="S227" s="91"/>
      <c r="T227" s="91"/>
      <c r="U227" s="91"/>
      <c r="V227" s="91"/>
      <c r="W227" s="91"/>
      <c r="X227" s="91"/>
      <c r="Y227" s="91"/>
      <c r="Z227" s="91"/>
      <c r="AA227" s="91"/>
      <c r="AB227" s="91"/>
      <c r="AC227" s="91"/>
      <c r="AD227" s="91"/>
      <c r="AE227" s="91"/>
      <c r="AF227" s="91"/>
    </row>
    <row r="228" spans="2:32">
      <c r="B228" s="368"/>
      <c r="C228" s="368"/>
      <c r="D228" s="288" t="s">
        <v>833</v>
      </c>
      <c r="E228" s="288" t="s">
        <v>834</v>
      </c>
      <c r="F228" s="368" t="s">
        <v>188</v>
      </c>
      <c r="G228" s="368" t="s">
        <v>189</v>
      </c>
      <c r="H228" s="368"/>
      <c r="I228" s="368"/>
      <c r="J228" s="368"/>
      <c r="K228" s="368" t="s">
        <v>937</v>
      </c>
      <c r="L228" s="91"/>
      <c r="M228" s="91"/>
      <c r="N228" s="91"/>
      <c r="O228" s="91"/>
      <c r="P228" s="91"/>
      <c r="Q228" s="289"/>
      <c r="R228" s="91"/>
      <c r="S228" s="91"/>
      <c r="T228" s="91"/>
      <c r="U228" s="91"/>
      <c r="V228" s="91"/>
      <c r="W228" s="91"/>
      <c r="X228" s="91"/>
      <c r="Y228" s="91"/>
      <c r="Z228" s="91"/>
      <c r="AA228" s="91"/>
      <c r="AB228" s="91"/>
      <c r="AC228" s="91"/>
      <c r="AD228" s="91"/>
      <c r="AE228" s="91"/>
      <c r="AF228" s="91"/>
    </row>
    <row r="229" spans="2:32">
      <c r="B229" s="368"/>
      <c r="C229" s="368"/>
      <c r="D229" s="288" t="s">
        <v>836</v>
      </c>
      <c r="E229" s="288" t="s">
        <v>837</v>
      </c>
      <c r="F229" s="368" t="s">
        <v>188</v>
      </c>
      <c r="G229" s="368" t="s">
        <v>189</v>
      </c>
      <c r="H229" s="368"/>
      <c r="I229" s="368"/>
      <c r="J229" s="368"/>
      <c r="K229" s="368" t="s">
        <v>937</v>
      </c>
      <c r="L229" s="91"/>
      <c r="M229" s="91"/>
      <c r="N229" s="91"/>
      <c r="O229" s="91"/>
      <c r="P229" s="91"/>
      <c r="Q229" s="289"/>
      <c r="R229" s="91"/>
      <c r="S229" s="91"/>
      <c r="T229" s="91"/>
      <c r="U229" s="91"/>
      <c r="V229" s="91"/>
      <c r="W229" s="91"/>
      <c r="X229" s="91"/>
      <c r="Y229" s="91"/>
      <c r="Z229" s="91"/>
      <c r="AA229" s="91"/>
      <c r="AB229" s="91"/>
      <c r="AC229" s="91"/>
      <c r="AD229" s="91"/>
      <c r="AE229" s="91"/>
      <c r="AF229" s="91"/>
    </row>
    <row r="230" spans="2:32">
      <c r="B230" s="368"/>
      <c r="C230" s="368"/>
      <c r="D230" s="288" t="s">
        <v>838</v>
      </c>
      <c r="E230" s="288" t="s">
        <v>839</v>
      </c>
      <c r="F230" s="368" t="s">
        <v>188</v>
      </c>
      <c r="G230" s="368" t="s">
        <v>189</v>
      </c>
      <c r="H230" s="368"/>
      <c r="I230" s="368"/>
      <c r="J230" s="368"/>
      <c r="K230" s="368" t="s">
        <v>937</v>
      </c>
      <c r="L230" s="91"/>
      <c r="M230" s="91"/>
      <c r="N230" s="364"/>
      <c r="O230" s="364"/>
      <c r="P230" s="91"/>
      <c r="Q230" s="289"/>
      <c r="R230" s="91"/>
      <c r="S230" s="91"/>
      <c r="T230" s="91"/>
      <c r="U230" s="91"/>
      <c r="V230" s="91"/>
      <c r="W230" s="91"/>
      <c r="X230" s="91"/>
      <c r="Y230" s="91"/>
      <c r="Z230" s="91"/>
      <c r="AA230" s="91"/>
      <c r="AB230" s="91"/>
      <c r="AC230" s="91"/>
      <c r="AD230" s="91"/>
      <c r="AE230" s="91"/>
      <c r="AF230" s="91"/>
    </row>
    <row r="231" spans="2:32">
      <c r="B231" s="368"/>
      <c r="C231" s="368"/>
      <c r="D231" s="288" t="s">
        <v>840</v>
      </c>
      <c r="E231" s="288" t="s">
        <v>841</v>
      </c>
      <c r="F231" s="368" t="s">
        <v>188</v>
      </c>
      <c r="G231" s="368" t="s">
        <v>189</v>
      </c>
      <c r="H231" s="368"/>
      <c r="I231" s="368"/>
      <c r="J231" s="368"/>
      <c r="K231" s="368" t="s">
        <v>937</v>
      </c>
      <c r="L231" s="91"/>
      <c r="M231" s="91"/>
      <c r="N231" s="364"/>
      <c r="O231" s="364"/>
      <c r="P231" s="91"/>
      <c r="Q231" s="289"/>
      <c r="R231" s="91"/>
      <c r="S231" s="91"/>
      <c r="T231" s="91"/>
      <c r="U231" s="91"/>
      <c r="V231" s="91"/>
      <c r="W231" s="91"/>
      <c r="X231" s="91"/>
      <c r="Y231" s="91"/>
      <c r="Z231" s="91"/>
      <c r="AA231" s="91"/>
      <c r="AB231" s="91"/>
      <c r="AC231" s="91"/>
      <c r="AD231" s="91"/>
      <c r="AE231" s="91"/>
      <c r="AF231" s="91"/>
    </row>
    <row r="232" spans="2:32">
      <c r="B232" s="368"/>
      <c r="C232" s="368"/>
      <c r="D232" s="288" t="s">
        <v>842</v>
      </c>
      <c r="E232" s="288" t="s">
        <v>843</v>
      </c>
      <c r="F232" s="368" t="s">
        <v>188</v>
      </c>
      <c r="G232" s="368" t="s">
        <v>189</v>
      </c>
      <c r="H232" s="368"/>
      <c r="I232" s="368"/>
      <c r="J232" s="368"/>
      <c r="K232" s="368" t="s">
        <v>937</v>
      </c>
      <c r="L232" s="91"/>
      <c r="M232" s="91"/>
      <c r="N232" s="364"/>
      <c r="O232" s="364"/>
      <c r="P232" s="91"/>
      <c r="Q232" s="289"/>
      <c r="R232" s="91"/>
      <c r="S232" s="91"/>
      <c r="T232" s="91"/>
      <c r="U232" s="91"/>
      <c r="V232" s="91"/>
      <c r="W232" s="91"/>
      <c r="X232" s="91"/>
      <c r="Y232" s="91"/>
      <c r="Z232" s="91"/>
      <c r="AA232" s="91"/>
      <c r="AB232" s="91"/>
      <c r="AC232" s="91"/>
      <c r="AD232" s="91"/>
      <c r="AE232" s="91"/>
      <c r="AF232" s="91"/>
    </row>
    <row r="233" spans="2:32">
      <c r="B233" s="288"/>
      <c r="C233" s="288"/>
      <c r="D233" s="288" t="s">
        <v>844</v>
      </c>
      <c r="E233" s="288" t="s">
        <v>845</v>
      </c>
      <c r="F233" s="368" t="s">
        <v>188</v>
      </c>
      <c r="G233" s="368" t="s">
        <v>189</v>
      </c>
      <c r="H233" s="368"/>
      <c r="I233" s="368"/>
      <c r="J233" s="368"/>
      <c r="K233" s="368" t="s">
        <v>937</v>
      </c>
      <c r="L233" s="91"/>
      <c r="M233" s="91"/>
      <c r="N233" s="91"/>
      <c r="O233" s="91"/>
      <c r="P233" s="91"/>
      <c r="Q233" s="91"/>
      <c r="R233" s="91"/>
      <c r="S233" s="91"/>
      <c r="T233" s="91"/>
      <c r="U233" s="91"/>
      <c r="V233" s="91"/>
      <c r="W233" s="91"/>
      <c r="X233" s="91"/>
      <c r="Y233" s="91"/>
      <c r="Z233" s="91"/>
      <c r="AA233" s="91"/>
      <c r="AB233" s="91"/>
      <c r="AC233" s="91"/>
      <c r="AD233" s="91"/>
      <c r="AE233" s="91"/>
      <c r="AF233" s="91"/>
    </row>
    <row r="234" spans="2:32">
      <c r="B234" s="288"/>
      <c r="C234" s="288"/>
      <c r="D234" s="288" t="s">
        <v>846</v>
      </c>
      <c r="E234" s="288" t="s">
        <v>847</v>
      </c>
      <c r="F234" s="368" t="s">
        <v>188</v>
      </c>
      <c r="G234" s="368" t="s">
        <v>189</v>
      </c>
      <c r="H234" s="288"/>
      <c r="I234" s="288"/>
      <c r="J234" s="288"/>
      <c r="K234" s="368" t="s">
        <v>937</v>
      </c>
      <c r="L234" s="91"/>
      <c r="M234" s="91"/>
      <c r="N234" s="91"/>
      <c r="O234" s="91"/>
      <c r="P234" s="91"/>
      <c r="Q234" s="91"/>
      <c r="R234" s="91"/>
      <c r="S234" s="91"/>
      <c r="T234" s="91"/>
      <c r="U234" s="91"/>
      <c r="V234" s="91"/>
      <c r="W234" s="91"/>
      <c r="X234" s="91"/>
      <c r="Y234" s="91"/>
      <c r="Z234" s="91"/>
      <c r="AA234" s="91"/>
      <c r="AB234" s="91"/>
      <c r="AC234" s="91"/>
      <c r="AD234" s="91"/>
      <c r="AE234" s="91"/>
      <c r="AF234" s="91"/>
    </row>
    <row r="235" spans="2:32">
      <c r="B235" s="288"/>
      <c r="C235" s="288"/>
      <c r="D235" s="288" t="s">
        <v>848</v>
      </c>
      <c r="E235" s="288" t="s">
        <v>849</v>
      </c>
      <c r="F235" s="368" t="s">
        <v>188</v>
      </c>
      <c r="G235" s="368" t="s">
        <v>189</v>
      </c>
      <c r="H235" s="288"/>
      <c r="I235" s="288"/>
      <c r="J235" s="288"/>
      <c r="K235" s="368" t="s">
        <v>937</v>
      </c>
      <c r="L235" s="91"/>
      <c r="M235" s="91"/>
      <c r="N235" s="91"/>
      <c r="O235" s="91"/>
      <c r="P235" s="91"/>
      <c r="Q235" s="91"/>
      <c r="R235" s="91"/>
      <c r="S235" s="91"/>
      <c r="T235" s="91"/>
      <c r="U235" s="91"/>
      <c r="V235" s="91"/>
      <c r="W235" s="91"/>
      <c r="X235" s="91"/>
      <c r="Y235" s="91"/>
      <c r="Z235" s="91"/>
      <c r="AA235" s="91"/>
      <c r="AB235" s="91"/>
      <c r="AC235" s="91"/>
      <c r="AD235" s="91"/>
      <c r="AE235" s="91"/>
      <c r="AF235" s="91"/>
    </row>
    <row r="236" spans="2:32">
      <c r="B236" s="288"/>
      <c r="C236" s="288"/>
      <c r="D236" s="288" t="s">
        <v>850</v>
      </c>
      <c r="E236" s="288" t="s">
        <v>851</v>
      </c>
      <c r="F236" s="368" t="s">
        <v>188</v>
      </c>
      <c r="G236" s="368" t="s">
        <v>189</v>
      </c>
      <c r="H236" s="288"/>
      <c r="I236" s="288"/>
      <c r="J236" s="288"/>
      <c r="K236" s="368" t="s">
        <v>937</v>
      </c>
      <c r="L236" s="91"/>
      <c r="M236" s="91"/>
      <c r="N236" s="91"/>
      <c r="O236" s="91"/>
      <c r="P236" s="91"/>
      <c r="Q236" s="91"/>
      <c r="R236" s="91"/>
      <c r="S236" s="91"/>
      <c r="T236" s="91"/>
      <c r="U236" s="91"/>
      <c r="V236" s="91"/>
      <c r="W236" s="91"/>
      <c r="X236" s="91"/>
      <c r="Y236" s="91"/>
      <c r="Z236" s="91"/>
      <c r="AA236" s="91"/>
      <c r="AB236" s="91"/>
      <c r="AC236" s="91"/>
      <c r="AD236" s="91"/>
      <c r="AE236" s="91"/>
      <c r="AF236" s="91"/>
    </row>
    <row r="237" spans="2:32">
      <c r="B237" s="288"/>
      <c r="C237" s="288"/>
      <c r="D237" s="288" t="s">
        <v>852</v>
      </c>
      <c r="E237" s="288" t="s">
        <v>853</v>
      </c>
      <c r="F237" s="368" t="s">
        <v>188</v>
      </c>
      <c r="G237" s="368" t="s">
        <v>189</v>
      </c>
      <c r="H237" s="288"/>
      <c r="I237" s="288"/>
      <c r="J237" s="288"/>
      <c r="K237" s="368" t="s">
        <v>937</v>
      </c>
      <c r="L237" s="91"/>
      <c r="M237" s="91"/>
      <c r="N237" s="91"/>
      <c r="O237" s="91"/>
      <c r="P237" s="91"/>
      <c r="Q237" s="91"/>
      <c r="R237" s="91"/>
      <c r="S237" s="91"/>
      <c r="T237" s="91"/>
      <c r="U237" s="91"/>
      <c r="V237" s="91"/>
      <c r="W237" s="91"/>
      <c r="X237" s="91"/>
      <c r="Y237" s="91"/>
      <c r="Z237" s="91"/>
      <c r="AA237" s="91"/>
      <c r="AB237" s="91"/>
      <c r="AC237" s="91"/>
      <c r="AD237" s="91"/>
      <c r="AE237" s="91"/>
      <c r="AF237" s="91"/>
    </row>
    <row r="238" spans="2:32">
      <c r="B238" s="288"/>
      <c r="C238" s="288"/>
      <c r="D238" s="288" t="s">
        <v>855</v>
      </c>
      <c r="E238" s="288" t="s">
        <v>856</v>
      </c>
      <c r="F238" s="368" t="s">
        <v>188</v>
      </c>
      <c r="G238" s="368" t="s">
        <v>189</v>
      </c>
      <c r="H238" s="288"/>
      <c r="I238" s="288"/>
      <c r="J238" s="288"/>
      <c r="K238" s="368" t="s">
        <v>937</v>
      </c>
      <c r="L238" s="91"/>
      <c r="M238" s="91"/>
      <c r="N238" s="91"/>
      <c r="O238" s="91"/>
      <c r="P238" s="91"/>
      <c r="Q238" s="91"/>
      <c r="R238" s="91"/>
      <c r="S238" s="91"/>
      <c r="T238" s="91"/>
      <c r="U238" s="91"/>
      <c r="V238" s="91"/>
      <c r="W238" s="91"/>
      <c r="X238" s="91"/>
      <c r="Y238" s="91"/>
      <c r="Z238" s="91"/>
      <c r="AA238" s="91"/>
      <c r="AB238" s="91"/>
      <c r="AC238" s="91"/>
      <c r="AD238" s="91"/>
      <c r="AE238" s="91"/>
      <c r="AF238" s="91"/>
    </row>
    <row r="239" spans="2:32">
      <c r="B239" s="288"/>
      <c r="C239" s="288"/>
      <c r="D239" s="288" t="s">
        <v>857</v>
      </c>
      <c r="E239" s="288" t="s">
        <v>858</v>
      </c>
      <c r="F239" s="368" t="s">
        <v>188</v>
      </c>
      <c r="G239" s="368" t="s">
        <v>189</v>
      </c>
      <c r="H239" s="288"/>
      <c r="I239" s="288"/>
      <c r="J239" s="288"/>
      <c r="K239" s="368" t="s">
        <v>937</v>
      </c>
      <c r="L239" s="91"/>
      <c r="M239" s="91"/>
      <c r="N239" s="91"/>
      <c r="O239" s="91"/>
      <c r="P239" s="91"/>
      <c r="Q239" s="91"/>
      <c r="R239" s="91"/>
      <c r="S239" s="91"/>
      <c r="T239" s="91"/>
      <c r="U239" s="91"/>
      <c r="V239" s="91"/>
      <c r="W239" s="91"/>
      <c r="X239" s="91"/>
      <c r="Y239" s="91"/>
      <c r="Z239" s="91"/>
      <c r="AA239" s="91"/>
      <c r="AB239" s="91"/>
      <c r="AC239" s="91"/>
      <c r="AD239" s="91"/>
      <c r="AE239" s="91"/>
      <c r="AF239" s="91"/>
    </row>
    <row r="240" spans="2:32">
      <c r="B240" s="288"/>
      <c r="C240" s="288"/>
      <c r="D240" s="288" t="s">
        <v>860</v>
      </c>
      <c r="E240" s="288" t="s">
        <v>861</v>
      </c>
      <c r="F240" s="368" t="s">
        <v>188</v>
      </c>
      <c r="G240" s="368" t="s">
        <v>189</v>
      </c>
      <c r="H240" s="288"/>
      <c r="I240" s="288"/>
      <c r="J240" s="288"/>
      <c r="K240" s="368" t="s">
        <v>937</v>
      </c>
      <c r="L240" s="91"/>
      <c r="M240" s="91"/>
      <c r="N240" s="91"/>
      <c r="O240" s="91"/>
      <c r="P240" s="91"/>
      <c r="Q240" s="91"/>
      <c r="R240" s="91"/>
      <c r="S240" s="91"/>
      <c r="T240" s="91"/>
      <c r="U240" s="91"/>
      <c r="V240" s="91"/>
      <c r="W240" s="91"/>
      <c r="X240" s="91"/>
      <c r="Y240" s="91"/>
      <c r="Z240" s="91"/>
      <c r="AA240" s="91"/>
      <c r="AB240" s="91"/>
      <c r="AC240" s="91"/>
      <c r="AD240" s="91"/>
      <c r="AE240" s="91"/>
      <c r="AF240" s="91"/>
    </row>
    <row r="241" spans="2:32">
      <c r="B241" s="288"/>
      <c r="C241" s="288"/>
      <c r="D241" s="288" t="s">
        <v>863</v>
      </c>
      <c r="E241" s="288" t="s">
        <v>864</v>
      </c>
      <c r="F241" s="368" t="s">
        <v>188</v>
      </c>
      <c r="G241" s="368" t="s">
        <v>189</v>
      </c>
      <c r="H241" s="288"/>
      <c r="I241" s="288"/>
      <c r="J241" s="288"/>
      <c r="K241" s="368" t="s">
        <v>937</v>
      </c>
      <c r="L241" s="91"/>
      <c r="M241" s="91"/>
      <c r="N241" s="91"/>
      <c r="O241" s="91"/>
      <c r="P241" s="91"/>
      <c r="Q241" s="91"/>
      <c r="R241" s="91"/>
      <c r="S241" s="91"/>
      <c r="T241" s="91"/>
      <c r="U241" s="91"/>
      <c r="V241" s="91"/>
      <c r="W241" s="91"/>
      <c r="X241" s="91"/>
      <c r="Y241" s="91"/>
      <c r="Z241" s="91"/>
      <c r="AA241" s="91"/>
      <c r="AB241" s="91"/>
      <c r="AC241" s="91"/>
      <c r="AD241" s="91"/>
      <c r="AE241" s="91"/>
      <c r="AF241" s="91"/>
    </row>
    <row r="242" spans="2:32">
      <c r="B242" s="288"/>
      <c r="C242" s="288"/>
      <c r="D242" s="288" t="s">
        <v>865</v>
      </c>
      <c r="E242" s="288" t="s">
        <v>866</v>
      </c>
      <c r="F242" s="368" t="s">
        <v>188</v>
      </c>
      <c r="G242" s="368" t="s">
        <v>189</v>
      </c>
      <c r="H242" s="288"/>
      <c r="I242" s="288"/>
      <c r="J242" s="288"/>
      <c r="K242" s="368" t="s">
        <v>937</v>
      </c>
      <c r="L242" s="91"/>
      <c r="M242" s="91"/>
      <c r="N242" s="91"/>
      <c r="O242" s="91"/>
      <c r="P242" s="91"/>
      <c r="Q242" s="91"/>
      <c r="R242" s="91"/>
      <c r="S242" s="91"/>
      <c r="T242" s="91"/>
      <c r="U242" s="91"/>
      <c r="V242" s="91"/>
      <c r="W242" s="91"/>
      <c r="X242" s="91"/>
      <c r="Y242" s="91"/>
      <c r="Z242" s="91"/>
      <c r="AA242" s="91"/>
      <c r="AB242" s="91"/>
      <c r="AC242" s="91"/>
      <c r="AD242" s="91"/>
      <c r="AE242" s="91"/>
      <c r="AF242" s="91"/>
    </row>
    <row r="243" spans="2:32">
      <c r="B243" s="288"/>
      <c r="C243" s="288"/>
      <c r="D243" s="288" t="s">
        <v>867</v>
      </c>
      <c r="E243" s="288" t="s">
        <v>868</v>
      </c>
      <c r="F243" s="368" t="s">
        <v>188</v>
      </c>
      <c r="G243" s="368" t="s">
        <v>189</v>
      </c>
      <c r="H243" s="288"/>
      <c r="I243" s="288"/>
      <c r="J243" s="288"/>
      <c r="K243" s="368" t="s">
        <v>937</v>
      </c>
      <c r="L243" s="91"/>
      <c r="M243" s="91"/>
      <c r="N243" s="91"/>
      <c r="O243" s="91"/>
      <c r="P243" s="91"/>
      <c r="Q243" s="91"/>
      <c r="R243" s="91"/>
      <c r="S243" s="91"/>
      <c r="T243" s="91"/>
      <c r="U243" s="91"/>
      <c r="V243" s="91"/>
      <c r="W243" s="91"/>
      <c r="X243" s="91"/>
      <c r="Y243" s="91"/>
      <c r="Z243" s="91"/>
      <c r="AA243" s="91"/>
      <c r="AB243" s="91"/>
      <c r="AC243" s="91"/>
      <c r="AD243" s="91"/>
      <c r="AE243" s="91"/>
      <c r="AF243" s="91"/>
    </row>
    <row r="244" spans="2:32">
      <c r="B244" s="288"/>
      <c r="C244" s="288"/>
      <c r="D244" s="288" t="s">
        <v>869</v>
      </c>
      <c r="E244" s="288" t="s">
        <v>870</v>
      </c>
      <c r="F244" s="368" t="s">
        <v>188</v>
      </c>
      <c r="G244" s="368" t="s">
        <v>189</v>
      </c>
      <c r="H244" s="288"/>
      <c r="I244" s="288"/>
      <c r="J244" s="288"/>
      <c r="K244" s="368" t="s">
        <v>937</v>
      </c>
      <c r="L244" s="91"/>
      <c r="M244" s="91"/>
      <c r="N244" s="91"/>
      <c r="O244" s="91"/>
      <c r="P244" s="91"/>
      <c r="Q244" s="91"/>
      <c r="R244" s="91"/>
      <c r="S244" s="91"/>
      <c r="T244" s="91"/>
      <c r="U244" s="91"/>
      <c r="V244" s="91"/>
      <c r="W244" s="91"/>
      <c r="X244" s="91"/>
      <c r="Y244" s="91"/>
      <c r="Z244" s="91"/>
      <c r="AA244" s="91"/>
      <c r="AB244" s="91"/>
      <c r="AC244" s="91"/>
      <c r="AD244" s="91"/>
      <c r="AE244" s="91"/>
      <c r="AF244" s="91"/>
    </row>
    <row r="245" spans="2:32">
      <c r="B245" s="288"/>
      <c r="C245" s="288"/>
      <c r="D245" s="288" t="s">
        <v>872</v>
      </c>
      <c r="E245" s="288" t="s">
        <v>873</v>
      </c>
      <c r="F245" s="368" t="s">
        <v>188</v>
      </c>
      <c r="G245" s="368" t="s">
        <v>189</v>
      </c>
      <c r="H245" s="288"/>
      <c r="I245" s="288"/>
      <c r="J245" s="288"/>
      <c r="K245" s="368" t="s">
        <v>937</v>
      </c>
      <c r="L245" s="91"/>
      <c r="M245" s="91"/>
      <c r="N245" s="91"/>
      <c r="O245" s="91"/>
      <c r="P245" s="91"/>
      <c r="Q245" s="91"/>
      <c r="R245" s="91"/>
      <c r="S245" s="91"/>
      <c r="T245" s="91"/>
      <c r="U245" s="91"/>
      <c r="V245" s="91"/>
      <c r="W245" s="91"/>
      <c r="X245" s="91"/>
      <c r="Y245" s="91"/>
      <c r="Z245" s="91"/>
      <c r="AA245" s="91"/>
      <c r="AB245" s="91"/>
      <c r="AC245" s="91"/>
      <c r="AD245" s="91"/>
      <c r="AE245" s="91"/>
      <c r="AF245" s="91"/>
    </row>
    <row r="246" spans="2:32">
      <c r="B246" s="288"/>
      <c r="C246" s="288"/>
      <c r="D246" s="288" t="s">
        <v>875</v>
      </c>
      <c r="E246" s="288" t="s">
        <v>876</v>
      </c>
      <c r="F246" s="368" t="s">
        <v>188</v>
      </c>
      <c r="G246" s="368" t="s">
        <v>189</v>
      </c>
      <c r="H246" s="288"/>
      <c r="I246" s="288"/>
      <c r="J246" s="288"/>
      <c r="K246" s="368" t="s">
        <v>937</v>
      </c>
      <c r="L246" s="91"/>
      <c r="M246" s="91"/>
      <c r="N246" s="91"/>
      <c r="O246" s="91"/>
      <c r="P246" s="91"/>
      <c r="Q246" s="91"/>
      <c r="R246" s="91"/>
      <c r="S246" s="91"/>
      <c r="T246" s="91"/>
      <c r="U246" s="91"/>
      <c r="V246" s="91"/>
      <c r="W246" s="91"/>
      <c r="X246" s="91"/>
      <c r="Y246" s="91"/>
      <c r="Z246" s="91"/>
      <c r="AA246" s="91"/>
      <c r="AB246" s="91"/>
      <c r="AC246" s="91"/>
      <c r="AD246" s="91"/>
      <c r="AE246" s="91"/>
      <c r="AF246" s="91"/>
    </row>
    <row r="247" spans="2:32">
      <c r="B247" s="288"/>
      <c r="C247" s="288"/>
      <c r="D247" s="288" t="s">
        <v>877</v>
      </c>
      <c r="E247" s="288" t="s">
        <v>878</v>
      </c>
      <c r="F247" s="368" t="s">
        <v>188</v>
      </c>
      <c r="G247" s="368" t="s">
        <v>189</v>
      </c>
      <c r="H247" s="288"/>
      <c r="I247" s="288"/>
      <c r="J247" s="288"/>
      <c r="K247" s="368" t="s">
        <v>937</v>
      </c>
      <c r="L247" s="91"/>
      <c r="M247" s="91"/>
      <c r="N247" s="91"/>
      <c r="O247" s="91"/>
      <c r="P247" s="91"/>
      <c r="Q247" s="91"/>
      <c r="R247" s="91"/>
      <c r="S247" s="91"/>
      <c r="T247" s="91"/>
      <c r="U247" s="91"/>
      <c r="V247" s="91"/>
      <c r="W247" s="91"/>
      <c r="X247" s="91"/>
      <c r="Y247" s="91"/>
      <c r="Z247" s="91"/>
      <c r="AA247" s="91"/>
      <c r="AB247" s="91"/>
      <c r="AC247" s="91"/>
      <c r="AD247" s="91"/>
      <c r="AE247" s="91"/>
      <c r="AF247" s="91"/>
    </row>
    <row r="248" spans="2:32">
      <c r="B248" s="288"/>
      <c r="C248" s="288"/>
      <c r="D248" s="288" t="s">
        <v>879</v>
      </c>
      <c r="E248" s="288" t="s">
        <v>880</v>
      </c>
      <c r="F248" s="368" t="s">
        <v>188</v>
      </c>
      <c r="G248" s="368" t="s">
        <v>189</v>
      </c>
      <c r="H248" s="288"/>
      <c r="I248" s="288"/>
      <c r="J248" s="288"/>
      <c r="K248" s="368" t="s">
        <v>937</v>
      </c>
      <c r="L248" s="91"/>
      <c r="M248" s="91"/>
      <c r="N248" s="91"/>
      <c r="O248" s="91"/>
      <c r="P248" s="91"/>
      <c r="Q248" s="91"/>
      <c r="R248" s="91"/>
      <c r="S248" s="91"/>
      <c r="T248" s="91"/>
      <c r="U248" s="91"/>
      <c r="V248" s="91"/>
      <c r="W248" s="91"/>
      <c r="X248" s="91"/>
      <c r="Y248" s="91"/>
      <c r="Z248" s="91"/>
      <c r="AA248" s="91"/>
      <c r="AB248" s="91"/>
      <c r="AC248" s="91"/>
      <c r="AD248" s="91"/>
      <c r="AE248" s="91"/>
      <c r="AF248" s="91"/>
    </row>
    <row r="249" spans="2:32">
      <c r="B249" s="288"/>
      <c r="C249" s="288"/>
      <c r="D249" s="288" t="s">
        <v>881</v>
      </c>
      <c r="E249" s="288" t="s">
        <v>882</v>
      </c>
      <c r="F249" s="368" t="s">
        <v>188</v>
      </c>
      <c r="G249" s="368" t="s">
        <v>189</v>
      </c>
      <c r="H249" s="288"/>
      <c r="I249" s="288"/>
      <c r="J249" s="288"/>
      <c r="K249" s="368" t="s">
        <v>937</v>
      </c>
      <c r="L249" s="91"/>
      <c r="M249" s="91"/>
      <c r="N249" s="91"/>
      <c r="O249" s="91"/>
      <c r="P249" s="91"/>
      <c r="Q249" s="91"/>
      <c r="R249" s="91"/>
      <c r="S249" s="91"/>
      <c r="T249" s="91"/>
      <c r="U249" s="91"/>
      <c r="V249" s="91"/>
      <c r="W249" s="91"/>
      <c r="X249" s="91"/>
      <c r="Y249" s="91"/>
      <c r="Z249" s="91"/>
      <c r="AA249" s="91"/>
      <c r="AB249" s="91"/>
      <c r="AC249" s="91"/>
      <c r="AD249" s="91"/>
      <c r="AE249" s="91"/>
      <c r="AF249" s="91"/>
    </row>
    <row r="250" spans="2:32">
      <c r="B250" s="288"/>
      <c r="C250" s="288"/>
      <c r="D250" s="288" t="s">
        <v>883</v>
      </c>
      <c r="E250" s="288" t="s">
        <v>884</v>
      </c>
      <c r="F250" s="368" t="s">
        <v>188</v>
      </c>
      <c r="G250" s="368" t="s">
        <v>189</v>
      </c>
      <c r="H250" s="288"/>
      <c r="I250" s="288"/>
      <c r="J250" s="288"/>
      <c r="K250" s="368" t="s">
        <v>937</v>
      </c>
      <c r="L250" s="91"/>
      <c r="M250" s="91"/>
      <c r="N250" s="91"/>
      <c r="O250" s="91"/>
      <c r="P250" s="91"/>
      <c r="Q250" s="91"/>
      <c r="R250" s="91"/>
      <c r="S250" s="91"/>
      <c r="T250" s="91"/>
      <c r="U250" s="91"/>
      <c r="V250" s="91"/>
      <c r="W250" s="91"/>
      <c r="X250" s="91"/>
      <c r="Y250" s="91"/>
      <c r="Z250" s="91"/>
      <c r="AA250" s="91"/>
      <c r="AB250" s="91"/>
      <c r="AC250" s="91"/>
      <c r="AD250" s="91"/>
      <c r="AE250" s="91"/>
      <c r="AF250" s="91"/>
    </row>
    <row r="251" spans="2:32">
      <c r="B251" s="288"/>
      <c r="C251" s="288"/>
      <c r="D251" s="288" t="s">
        <v>885</v>
      </c>
      <c r="E251" s="288" t="s">
        <v>886</v>
      </c>
      <c r="F251" s="368" t="s">
        <v>188</v>
      </c>
      <c r="G251" s="368" t="s">
        <v>189</v>
      </c>
      <c r="H251" s="288"/>
      <c r="I251" s="288"/>
      <c r="J251" s="288"/>
      <c r="K251" s="368" t="s">
        <v>937</v>
      </c>
      <c r="L251" s="91"/>
      <c r="M251" s="91"/>
      <c r="N251" s="91"/>
      <c r="O251" s="91"/>
      <c r="P251" s="91"/>
      <c r="Q251" s="91"/>
      <c r="R251" s="91"/>
      <c r="S251" s="91"/>
      <c r="T251" s="91"/>
      <c r="U251" s="91"/>
      <c r="V251" s="91"/>
      <c r="W251" s="91"/>
      <c r="X251" s="91"/>
      <c r="Y251" s="91"/>
      <c r="Z251" s="91"/>
      <c r="AA251" s="91"/>
      <c r="AB251" s="91"/>
      <c r="AC251" s="91"/>
      <c r="AD251" s="91"/>
      <c r="AE251" s="91"/>
      <c r="AF251" s="91"/>
    </row>
    <row r="252" spans="2:32">
      <c r="B252" s="288"/>
      <c r="C252" s="288"/>
      <c r="D252" s="288" t="s">
        <v>887</v>
      </c>
      <c r="E252" s="288" t="s">
        <v>888</v>
      </c>
      <c r="F252" s="368" t="s">
        <v>188</v>
      </c>
      <c r="G252" s="368" t="s">
        <v>189</v>
      </c>
      <c r="H252" s="288"/>
      <c r="I252" s="288"/>
      <c r="J252" s="288"/>
      <c r="K252" s="368" t="s">
        <v>937</v>
      </c>
      <c r="L252" s="91"/>
      <c r="M252" s="91"/>
      <c r="N252" s="91"/>
      <c r="O252" s="91"/>
      <c r="P252" s="91"/>
      <c r="Q252" s="91"/>
      <c r="R252" s="91"/>
      <c r="S252" s="91"/>
      <c r="T252" s="91"/>
      <c r="U252" s="91"/>
      <c r="V252" s="91"/>
      <c r="W252" s="91"/>
      <c r="X252" s="91"/>
      <c r="Y252" s="91"/>
      <c r="Z252" s="91"/>
      <c r="AA252" s="91"/>
      <c r="AB252" s="91"/>
      <c r="AC252" s="91"/>
      <c r="AD252" s="91"/>
      <c r="AE252" s="91"/>
      <c r="AF252" s="91"/>
    </row>
    <row r="253" spans="2:32">
      <c r="B253" s="288"/>
      <c r="C253" s="288"/>
      <c r="D253" s="288" t="s">
        <v>889</v>
      </c>
      <c r="E253" s="288" t="s">
        <v>890</v>
      </c>
      <c r="F253" s="368" t="s">
        <v>188</v>
      </c>
      <c r="G253" s="368" t="s">
        <v>189</v>
      </c>
      <c r="H253" s="288"/>
      <c r="I253" s="288"/>
      <c r="J253" s="288"/>
      <c r="K253" s="368" t="s">
        <v>937</v>
      </c>
      <c r="L253" s="91"/>
      <c r="M253" s="91"/>
      <c r="N253" s="91"/>
      <c r="O253" s="91"/>
      <c r="P253" s="91"/>
      <c r="Q253" s="91"/>
      <c r="R253" s="91"/>
      <c r="S253" s="91"/>
      <c r="T253" s="91"/>
      <c r="U253" s="91"/>
      <c r="V253" s="91"/>
      <c r="W253" s="91"/>
      <c r="X253" s="91"/>
      <c r="Y253" s="91"/>
      <c r="Z253" s="91"/>
      <c r="AA253" s="91"/>
      <c r="AB253" s="91"/>
      <c r="AC253" s="91"/>
      <c r="AD253" s="91"/>
      <c r="AE253" s="91"/>
      <c r="AF253" s="91"/>
    </row>
    <row r="254" spans="2:32">
      <c r="B254" s="288"/>
      <c r="C254" s="288"/>
      <c r="D254" s="288" t="s">
        <v>891</v>
      </c>
      <c r="E254" s="288" t="s">
        <v>892</v>
      </c>
      <c r="F254" s="368" t="s">
        <v>188</v>
      </c>
      <c r="G254" s="368" t="s">
        <v>189</v>
      </c>
      <c r="H254" s="288"/>
      <c r="I254" s="288"/>
      <c r="J254" s="288"/>
      <c r="K254" s="368" t="s">
        <v>937</v>
      </c>
      <c r="L254" s="91"/>
      <c r="M254" s="91"/>
      <c r="N254" s="91"/>
      <c r="O254" s="91"/>
      <c r="P254" s="91"/>
      <c r="Q254" s="91"/>
      <c r="R254" s="91"/>
      <c r="S254" s="91"/>
      <c r="T254" s="91"/>
      <c r="U254" s="91"/>
      <c r="V254" s="91"/>
      <c r="W254" s="91"/>
      <c r="X254" s="91"/>
      <c r="Y254" s="91"/>
      <c r="Z254" s="91"/>
      <c r="AA254" s="91"/>
      <c r="AB254" s="91"/>
      <c r="AC254" s="91"/>
      <c r="AD254" s="91"/>
      <c r="AE254" s="91"/>
      <c r="AF254" s="91"/>
    </row>
    <row r="255" spans="2:32">
      <c r="B255" s="288"/>
      <c r="C255" s="288"/>
      <c r="D255" s="288" t="s">
        <v>893</v>
      </c>
      <c r="E255" s="288" t="s">
        <v>894</v>
      </c>
      <c r="F255" s="368" t="s">
        <v>188</v>
      </c>
      <c r="G255" s="368" t="s">
        <v>189</v>
      </c>
      <c r="H255" s="288"/>
      <c r="I255" s="288"/>
      <c r="J255" s="288"/>
      <c r="K255" s="368" t="s">
        <v>937</v>
      </c>
      <c r="L255" s="91"/>
      <c r="M255" s="91"/>
      <c r="N255" s="91"/>
      <c r="O255" s="91"/>
      <c r="P255" s="91"/>
      <c r="Q255" s="91"/>
      <c r="R255" s="91"/>
      <c r="S255" s="91"/>
      <c r="T255" s="91"/>
      <c r="U255" s="91"/>
      <c r="V255" s="91"/>
      <c r="W255" s="91"/>
      <c r="X255" s="91"/>
      <c r="Y255" s="91"/>
      <c r="Z255" s="91"/>
      <c r="AA255" s="91"/>
      <c r="AB255" s="91"/>
      <c r="AC255" s="91"/>
      <c r="AD255" s="91"/>
      <c r="AE255" s="91"/>
      <c r="AF255" s="91"/>
    </row>
    <row r="256" spans="2:32">
      <c r="B256" s="288"/>
      <c r="C256" s="288"/>
      <c r="D256" s="288" t="s">
        <v>896</v>
      </c>
      <c r="E256" s="288" t="s">
        <v>897</v>
      </c>
      <c r="F256" s="368" t="s">
        <v>188</v>
      </c>
      <c r="G256" s="368" t="s">
        <v>189</v>
      </c>
      <c r="H256" s="288"/>
      <c r="I256" s="288"/>
      <c r="J256" s="288"/>
      <c r="K256" s="368" t="s">
        <v>937</v>
      </c>
      <c r="L256" s="91"/>
      <c r="M256" s="91"/>
      <c r="N256" s="91"/>
      <c r="O256" s="91"/>
      <c r="P256" s="91"/>
      <c r="Q256" s="91"/>
      <c r="R256" s="91"/>
      <c r="S256" s="91"/>
      <c r="T256" s="91"/>
      <c r="U256" s="91"/>
      <c r="V256" s="91"/>
      <c r="W256" s="91"/>
      <c r="X256" s="91"/>
      <c r="Y256" s="91"/>
      <c r="Z256" s="91"/>
      <c r="AA256" s="91"/>
      <c r="AB256" s="91"/>
      <c r="AC256" s="91"/>
      <c r="AD256" s="91"/>
      <c r="AE256" s="91"/>
      <c r="AF256" s="91"/>
    </row>
    <row r="257" spans="2:32">
      <c r="B257" s="288"/>
      <c r="C257" s="288"/>
      <c r="D257" s="288" t="s">
        <v>898</v>
      </c>
      <c r="E257" s="288" t="s">
        <v>899</v>
      </c>
      <c r="F257" s="368" t="s">
        <v>188</v>
      </c>
      <c r="G257" s="368" t="s">
        <v>189</v>
      </c>
      <c r="H257" s="288"/>
      <c r="I257" s="288"/>
      <c r="J257" s="288"/>
      <c r="K257" s="368" t="s">
        <v>937</v>
      </c>
      <c r="L257" s="91"/>
      <c r="M257" s="91"/>
      <c r="N257" s="91"/>
      <c r="O257" s="91"/>
      <c r="P257" s="91"/>
      <c r="Q257" s="91"/>
      <c r="R257" s="91"/>
      <c r="S257" s="91"/>
      <c r="T257" s="91"/>
      <c r="U257" s="91"/>
      <c r="V257" s="91"/>
      <c r="W257" s="91"/>
      <c r="X257" s="91"/>
      <c r="Y257" s="91"/>
      <c r="Z257" s="91"/>
      <c r="AA257" s="91"/>
      <c r="AB257" s="91"/>
      <c r="AC257" s="91"/>
      <c r="AD257" s="91"/>
      <c r="AE257" s="91"/>
      <c r="AF257" s="91"/>
    </row>
    <row r="258" spans="2:32">
      <c r="B258" s="288"/>
      <c r="C258" s="288"/>
      <c r="D258" s="288" t="s">
        <v>900</v>
      </c>
      <c r="E258" s="288" t="s">
        <v>901</v>
      </c>
      <c r="F258" s="368" t="s">
        <v>188</v>
      </c>
      <c r="G258" s="368" t="s">
        <v>189</v>
      </c>
      <c r="H258" s="288"/>
      <c r="I258" s="288"/>
      <c r="J258" s="288"/>
      <c r="K258" s="368" t="s">
        <v>937</v>
      </c>
      <c r="L258" s="91"/>
      <c r="M258" s="91"/>
      <c r="N258" s="91"/>
      <c r="O258" s="91"/>
      <c r="P258" s="91"/>
      <c r="Q258" s="91"/>
      <c r="R258" s="91"/>
      <c r="S258" s="91"/>
      <c r="T258" s="91"/>
      <c r="U258" s="91"/>
      <c r="V258" s="91"/>
      <c r="W258" s="91"/>
      <c r="X258" s="91"/>
      <c r="Y258" s="91"/>
      <c r="Z258" s="91"/>
      <c r="AA258" s="91"/>
      <c r="AB258" s="91"/>
      <c r="AC258" s="91"/>
      <c r="AD258" s="91"/>
      <c r="AE258" s="91"/>
      <c r="AF258" s="91"/>
    </row>
    <row r="259" spans="2:32">
      <c r="B259" s="288"/>
      <c r="C259" s="288"/>
      <c r="D259" s="288" t="s">
        <v>902</v>
      </c>
      <c r="E259" s="288" t="s">
        <v>903</v>
      </c>
      <c r="F259" s="368" t="s">
        <v>188</v>
      </c>
      <c r="G259" s="368" t="s">
        <v>189</v>
      </c>
      <c r="H259" s="288"/>
      <c r="I259" s="288"/>
      <c r="J259" s="288"/>
      <c r="K259" s="368" t="s">
        <v>937</v>
      </c>
      <c r="L259" s="91"/>
      <c r="M259" s="91"/>
      <c r="N259" s="91"/>
      <c r="O259" s="91"/>
      <c r="P259" s="91"/>
      <c r="Q259" s="91"/>
      <c r="R259" s="91"/>
      <c r="S259" s="91"/>
      <c r="T259" s="91"/>
      <c r="U259" s="91"/>
      <c r="V259" s="91"/>
      <c r="W259" s="91"/>
      <c r="X259" s="91"/>
      <c r="Y259" s="91"/>
      <c r="Z259" s="91"/>
      <c r="AA259" s="91"/>
      <c r="AB259" s="91"/>
      <c r="AC259" s="91"/>
      <c r="AD259" s="91"/>
      <c r="AE259" s="91"/>
      <c r="AF259" s="91"/>
    </row>
    <row r="260" spans="2:32">
      <c r="B260" s="288"/>
      <c r="C260" s="288"/>
      <c r="D260" s="288" t="s">
        <v>904</v>
      </c>
      <c r="E260" s="288" t="s">
        <v>905</v>
      </c>
      <c r="F260" s="368" t="s">
        <v>188</v>
      </c>
      <c r="G260" s="368" t="s">
        <v>189</v>
      </c>
      <c r="H260" s="288"/>
      <c r="I260" s="288"/>
      <c r="J260" s="288"/>
      <c r="K260" s="368" t="s">
        <v>937</v>
      </c>
      <c r="L260" s="91"/>
      <c r="M260" s="91"/>
      <c r="N260" s="91"/>
      <c r="O260" s="91"/>
      <c r="P260" s="91"/>
      <c r="Q260" s="91"/>
      <c r="R260" s="91"/>
      <c r="S260" s="91"/>
      <c r="T260" s="91"/>
      <c r="U260" s="91"/>
      <c r="V260" s="91"/>
      <c r="W260" s="91"/>
      <c r="X260" s="91"/>
      <c r="Y260" s="91"/>
      <c r="Z260" s="91"/>
      <c r="AA260" s="91"/>
      <c r="AB260" s="91"/>
      <c r="AC260" s="91"/>
      <c r="AD260" s="91"/>
      <c r="AE260" s="91"/>
      <c r="AF260" s="91"/>
    </row>
    <row r="261" spans="2:32">
      <c r="B261" s="288"/>
      <c r="C261" s="288"/>
      <c r="D261" s="288" t="s">
        <v>907</v>
      </c>
      <c r="E261" s="288" t="s">
        <v>908</v>
      </c>
      <c r="F261" s="368" t="s">
        <v>188</v>
      </c>
      <c r="G261" s="368" t="s">
        <v>189</v>
      </c>
      <c r="H261" s="288"/>
      <c r="I261" s="288"/>
      <c r="J261" s="288"/>
      <c r="K261" s="368" t="s">
        <v>937</v>
      </c>
      <c r="L261" s="91"/>
      <c r="M261" s="91"/>
      <c r="N261" s="91"/>
      <c r="O261" s="91"/>
      <c r="P261" s="91"/>
      <c r="Q261" s="91"/>
      <c r="R261" s="91"/>
      <c r="S261" s="91"/>
      <c r="T261" s="91"/>
      <c r="U261" s="91"/>
      <c r="V261" s="91"/>
      <c r="W261" s="91"/>
      <c r="X261" s="91"/>
      <c r="Y261" s="91"/>
      <c r="Z261" s="91"/>
      <c r="AA261" s="91"/>
      <c r="AB261" s="91"/>
      <c r="AC261" s="91"/>
      <c r="AD261" s="91"/>
      <c r="AE261" s="91"/>
      <c r="AF261" s="91"/>
    </row>
    <row r="262" spans="2:32">
      <c r="B262" s="288"/>
      <c r="C262" s="288"/>
      <c r="D262" s="288" t="s">
        <v>911</v>
      </c>
      <c r="E262" s="288" t="s">
        <v>912</v>
      </c>
      <c r="F262" s="368" t="s">
        <v>188</v>
      </c>
      <c r="G262" s="368" t="s">
        <v>189</v>
      </c>
      <c r="H262" s="288"/>
      <c r="I262" s="288"/>
      <c r="J262" s="288"/>
      <c r="K262" s="368" t="s">
        <v>937</v>
      </c>
      <c r="L262" s="91"/>
      <c r="M262" s="91"/>
      <c r="N262" s="91"/>
      <c r="O262" s="91"/>
      <c r="P262" s="91"/>
      <c r="Q262" s="91"/>
      <c r="R262" s="91"/>
      <c r="S262" s="91"/>
      <c r="T262" s="91"/>
      <c r="U262" s="91"/>
      <c r="V262" s="91"/>
      <c r="W262" s="91"/>
      <c r="X262" s="91"/>
      <c r="Y262" s="91"/>
      <c r="Z262" s="91"/>
      <c r="AA262" s="91"/>
      <c r="AB262" s="91"/>
      <c r="AC262" s="91"/>
      <c r="AD262" s="91"/>
      <c r="AE262" s="91"/>
      <c r="AF262" s="91"/>
    </row>
    <row r="263" spans="2:32">
      <c r="B263" s="288"/>
      <c r="C263" s="288"/>
      <c r="D263" s="288" t="s">
        <v>914</v>
      </c>
      <c r="E263" s="288" t="s">
        <v>915</v>
      </c>
      <c r="F263" s="368" t="s">
        <v>188</v>
      </c>
      <c r="G263" s="368" t="s">
        <v>189</v>
      </c>
      <c r="H263" s="288"/>
      <c r="I263" s="288"/>
      <c r="J263" s="288"/>
      <c r="K263" s="368" t="s">
        <v>937</v>
      </c>
      <c r="L263" s="91"/>
      <c r="M263" s="91"/>
      <c r="N263" s="91"/>
      <c r="O263" s="91"/>
      <c r="P263" s="91"/>
      <c r="Q263" s="91"/>
      <c r="R263" s="91"/>
      <c r="S263" s="91"/>
      <c r="T263" s="91"/>
      <c r="U263" s="91"/>
      <c r="V263" s="91"/>
      <c r="W263" s="91"/>
      <c r="X263" s="91"/>
      <c r="Y263" s="91"/>
      <c r="Z263" s="91"/>
      <c r="AA263" s="91"/>
      <c r="AB263" s="91"/>
      <c r="AC263" s="91"/>
      <c r="AD263" s="91"/>
      <c r="AE263" s="91"/>
      <c r="AF263" s="91"/>
    </row>
    <row r="264" spans="2:32">
      <c r="B264" s="288"/>
      <c r="C264" s="288"/>
      <c r="D264" s="288" t="s">
        <v>916</v>
      </c>
      <c r="E264" s="288" t="s">
        <v>917</v>
      </c>
      <c r="F264" s="368" t="s">
        <v>188</v>
      </c>
      <c r="G264" s="368" t="s">
        <v>189</v>
      </c>
      <c r="H264" s="288"/>
      <c r="I264" s="288"/>
      <c r="J264" s="288"/>
      <c r="K264" s="368" t="s">
        <v>937</v>
      </c>
      <c r="L264" s="91"/>
      <c r="M264" s="91"/>
      <c r="N264" s="91"/>
      <c r="O264" s="91"/>
      <c r="P264" s="91"/>
      <c r="Q264" s="91"/>
      <c r="R264" s="91"/>
      <c r="S264" s="91"/>
      <c r="T264" s="91"/>
      <c r="U264" s="91"/>
      <c r="V264" s="91"/>
      <c r="W264" s="91"/>
      <c r="X264" s="91"/>
      <c r="Y264" s="91"/>
      <c r="Z264" s="91"/>
      <c r="AA264" s="91"/>
      <c r="AB264" s="91"/>
      <c r="AC264" s="91"/>
      <c r="AD264" s="91"/>
      <c r="AE264" s="91"/>
      <c r="AF264" s="91"/>
    </row>
    <row r="265" spans="2:32">
      <c r="B265" s="288"/>
      <c r="C265" s="288"/>
      <c r="D265" s="288" t="s">
        <v>919</v>
      </c>
      <c r="E265" s="288" t="s">
        <v>920</v>
      </c>
      <c r="F265" s="368" t="s">
        <v>188</v>
      </c>
      <c r="G265" s="368" t="s">
        <v>189</v>
      </c>
      <c r="H265" s="288"/>
      <c r="I265" s="288"/>
      <c r="J265" s="288"/>
      <c r="K265" s="368" t="s">
        <v>937</v>
      </c>
      <c r="L265" s="91"/>
      <c r="M265" s="91"/>
      <c r="N265" s="91"/>
      <c r="O265" s="91"/>
      <c r="P265" s="91"/>
      <c r="Q265" s="91"/>
      <c r="R265" s="91"/>
      <c r="S265" s="91"/>
      <c r="T265" s="91"/>
      <c r="U265" s="91"/>
      <c r="V265" s="91"/>
      <c r="W265" s="91"/>
      <c r="X265" s="91"/>
      <c r="Y265" s="91"/>
      <c r="Z265" s="91"/>
      <c r="AA265" s="91"/>
      <c r="AB265" s="91"/>
      <c r="AC265" s="91"/>
      <c r="AD265" s="91"/>
      <c r="AE265" s="91"/>
      <c r="AF265" s="91"/>
    </row>
    <row r="266" spans="2:32">
      <c r="B266" s="288"/>
      <c r="C266" s="288"/>
      <c r="D266" s="288" t="s">
        <v>922</v>
      </c>
      <c r="E266" s="288" t="s">
        <v>923</v>
      </c>
      <c r="F266" s="368" t="s">
        <v>188</v>
      </c>
      <c r="G266" s="368" t="s">
        <v>189</v>
      </c>
      <c r="H266" s="288"/>
      <c r="I266" s="288"/>
      <c r="J266" s="288"/>
      <c r="K266" s="368" t="s">
        <v>937</v>
      </c>
      <c r="L266" s="91"/>
      <c r="M266" s="91"/>
      <c r="N266" s="91"/>
      <c r="O266" s="91"/>
      <c r="P266" s="91"/>
      <c r="Q266" s="91"/>
      <c r="R266" s="91"/>
      <c r="S266" s="91"/>
      <c r="T266" s="91"/>
      <c r="U266" s="91"/>
      <c r="V266" s="91"/>
      <c r="W266" s="91"/>
      <c r="X266" s="91"/>
      <c r="Y266" s="91"/>
      <c r="Z266" s="91"/>
      <c r="AA266" s="91"/>
      <c r="AB266" s="91"/>
      <c r="AC266" s="91"/>
      <c r="AD266" s="91"/>
      <c r="AE266" s="91"/>
      <c r="AF266" s="91"/>
    </row>
    <row r="267" spans="2:32">
      <c r="B267" s="288"/>
      <c r="C267" s="288"/>
      <c r="D267" s="288" t="s">
        <v>925</v>
      </c>
      <c r="E267" s="288" t="s">
        <v>926</v>
      </c>
      <c r="F267" s="368" t="s">
        <v>188</v>
      </c>
      <c r="G267" s="368" t="s">
        <v>189</v>
      </c>
      <c r="H267" s="288"/>
      <c r="I267" s="288"/>
      <c r="J267" s="288"/>
      <c r="K267" s="368" t="s">
        <v>937</v>
      </c>
      <c r="L267" s="91"/>
      <c r="M267" s="91"/>
      <c r="N267" s="91"/>
      <c r="O267" s="91"/>
      <c r="P267" s="91"/>
      <c r="Q267" s="91"/>
      <c r="R267" s="91"/>
      <c r="S267" s="91"/>
      <c r="T267" s="91"/>
      <c r="U267" s="91"/>
      <c r="V267" s="91"/>
      <c r="W267" s="91"/>
      <c r="X267" s="91"/>
      <c r="Y267" s="91"/>
      <c r="Z267" s="91"/>
      <c r="AA267" s="91"/>
      <c r="AB267" s="91"/>
      <c r="AC267" s="91"/>
      <c r="AD267" s="91"/>
      <c r="AE267" s="91"/>
      <c r="AF267" s="91"/>
    </row>
    <row r="268" spans="2:32">
      <c r="B268" s="288"/>
      <c r="C268" s="288"/>
      <c r="D268" s="288" t="s">
        <v>928</v>
      </c>
      <c r="E268" s="288" t="s">
        <v>929</v>
      </c>
      <c r="F268" s="368" t="s">
        <v>188</v>
      </c>
      <c r="G268" s="368" t="s">
        <v>189</v>
      </c>
      <c r="H268" s="288"/>
      <c r="I268" s="288"/>
      <c r="J268" s="288"/>
      <c r="K268" s="368" t="s">
        <v>937</v>
      </c>
      <c r="L268" s="91"/>
      <c r="M268" s="91"/>
      <c r="N268" s="91"/>
      <c r="O268" s="91"/>
      <c r="P268" s="91"/>
      <c r="Q268" s="91"/>
      <c r="R268" s="91"/>
      <c r="S268" s="91"/>
      <c r="T268" s="91"/>
      <c r="U268" s="91"/>
      <c r="V268" s="91"/>
      <c r="W268" s="91"/>
      <c r="X268" s="91"/>
      <c r="Y268" s="91"/>
      <c r="Z268" s="91"/>
      <c r="AA268" s="91"/>
      <c r="AB268" s="91"/>
      <c r="AC268" s="91"/>
      <c r="AD268" s="91"/>
      <c r="AE268" s="91"/>
      <c r="AF268" s="91"/>
    </row>
    <row r="269" spans="2:32">
      <c r="B269" s="288"/>
      <c r="C269" s="288"/>
      <c r="D269" s="288" t="s">
        <v>932</v>
      </c>
      <c r="E269" s="288" t="s">
        <v>933</v>
      </c>
      <c r="F269" s="368" t="s">
        <v>188</v>
      </c>
      <c r="G269" s="368" t="s">
        <v>189</v>
      </c>
      <c r="H269" s="288"/>
      <c r="I269" s="288"/>
      <c r="J269" s="288"/>
      <c r="K269" s="368" t="s">
        <v>937</v>
      </c>
      <c r="L269" s="91"/>
      <c r="M269" s="91"/>
      <c r="N269" s="91"/>
      <c r="O269" s="91"/>
      <c r="P269" s="91"/>
      <c r="Q269" s="91"/>
      <c r="R269" s="91"/>
      <c r="S269" s="91"/>
      <c r="T269" s="91"/>
      <c r="U269" s="91"/>
      <c r="V269" s="91"/>
      <c r="W269" s="91"/>
      <c r="X269" s="91"/>
      <c r="Y269" s="91"/>
      <c r="Z269" s="91"/>
      <c r="AA269" s="91"/>
      <c r="AB269" s="91"/>
      <c r="AC269" s="91"/>
      <c r="AD269" s="91"/>
      <c r="AE269" s="91"/>
      <c r="AF269" s="91"/>
    </row>
    <row r="270" spans="2:32">
      <c r="B270" s="91"/>
      <c r="C270" s="91"/>
      <c r="D270" s="288"/>
      <c r="E270" s="288"/>
      <c r="F270" s="91"/>
      <c r="G270" s="91"/>
      <c r="H270" s="91"/>
      <c r="I270" s="91"/>
      <c r="J270" s="91"/>
      <c r="K270" s="91"/>
      <c r="L270" s="91"/>
      <c r="M270" s="91"/>
      <c r="N270" s="91"/>
      <c r="O270" s="91"/>
      <c r="P270" s="91"/>
      <c r="Q270" s="91"/>
      <c r="R270" s="91"/>
      <c r="S270" s="91"/>
      <c r="T270" s="91"/>
      <c r="U270" s="91"/>
      <c r="V270" s="91"/>
      <c r="W270" s="91"/>
      <c r="X270" s="91"/>
      <c r="Y270" s="91"/>
      <c r="Z270" s="91"/>
      <c r="AA270" s="91"/>
      <c r="AB270" s="91"/>
      <c r="AC270" s="91"/>
      <c r="AD270" s="91"/>
      <c r="AE270" s="91"/>
      <c r="AF270" s="91"/>
    </row>
    <row r="271" spans="2:32">
      <c r="B271" s="372" t="s">
        <v>953</v>
      </c>
      <c r="C271" s="372"/>
      <c r="D271" s="368"/>
      <c r="E271" s="368"/>
      <c r="F271" s="368"/>
      <c r="G271" s="368"/>
      <c r="H271" s="368"/>
      <c r="I271" s="368"/>
      <c r="J271" s="368"/>
      <c r="K271" s="368"/>
      <c r="L271" s="91"/>
      <c r="M271" s="91"/>
      <c r="N271" s="91"/>
      <c r="O271" s="91"/>
      <c r="P271" s="91"/>
      <c r="Q271" s="91"/>
      <c r="R271" s="91"/>
      <c r="S271" s="91"/>
      <c r="T271" s="91"/>
      <c r="U271" s="91"/>
      <c r="V271" s="91"/>
      <c r="W271" s="91"/>
      <c r="X271" s="91"/>
      <c r="Y271" s="91"/>
      <c r="Z271" s="91"/>
      <c r="AA271" s="91"/>
      <c r="AB271" s="91"/>
      <c r="AC271" s="91"/>
      <c r="AD271" s="91"/>
      <c r="AE271" s="91"/>
      <c r="AF271" s="91"/>
    </row>
    <row r="272" spans="2:32" ht="27.6">
      <c r="B272" s="369" t="s">
        <v>938</v>
      </c>
      <c r="C272" s="369" t="s">
        <v>463</v>
      </c>
      <c r="D272" s="369" t="s">
        <v>44</v>
      </c>
      <c r="E272" s="369" t="s">
        <v>45</v>
      </c>
      <c r="F272" s="369" t="s">
        <v>46</v>
      </c>
      <c r="G272" s="369" t="s">
        <v>47</v>
      </c>
      <c r="H272" s="369" t="s">
        <v>48</v>
      </c>
      <c r="I272" s="369"/>
      <c r="J272" s="369" t="s">
        <v>49</v>
      </c>
      <c r="K272" s="369" t="s">
        <v>50</v>
      </c>
      <c r="L272" s="91"/>
      <c r="M272" s="91"/>
      <c r="N272" s="91"/>
      <c r="O272" s="91"/>
      <c r="P272" s="91"/>
      <c r="Q272" s="91"/>
      <c r="R272" s="91"/>
      <c r="S272" s="91"/>
      <c r="T272" s="91"/>
      <c r="U272" s="91"/>
      <c r="V272" s="91"/>
      <c r="W272" s="91"/>
      <c r="X272" s="91"/>
      <c r="Y272" s="91"/>
      <c r="Z272" s="91"/>
      <c r="AA272" s="91"/>
      <c r="AB272" s="91"/>
      <c r="AC272" s="91"/>
      <c r="AD272" s="91"/>
      <c r="AE272" s="91"/>
      <c r="AF272" s="91"/>
    </row>
    <row r="273" spans="2:32" ht="31.2" thickBot="1">
      <c r="B273" s="373" t="s">
        <v>939</v>
      </c>
      <c r="C273" s="374" t="s">
        <v>940</v>
      </c>
      <c r="D273" s="374" t="s">
        <v>52</v>
      </c>
      <c r="E273" s="374" t="s">
        <v>941</v>
      </c>
      <c r="F273" s="374" t="s">
        <v>46</v>
      </c>
      <c r="G273" s="374" t="s">
        <v>54</v>
      </c>
      <c r="H273" s="374" t="s">
        <v>55</v>
      </c>
      <c r="I273" s="374"/>
      <c r="J273" s="374" t="s">
        <v>56</v>
      </c>
      <c r="K273" s="374" t="s">
        <v>57</v>
      </c>
      <c r="L273" s="91"/>
      <c r="M273" s="91"/>
      <c r="N273" s="91"/>
      <c r="O273" s="91"/>
      <c r="P273" s="91"/>
      <c r="Q273" s="91"/>
      <c r="R273" s="91"/>
      <c r="S273" s="91"/>
      <c r="T273" s="91"/>
      <c r="U273" s="91"/>
      <c r="V273" s="91"/>
      <c r="W273" s="91"/>
      <c r="X273" s="91"/>
      <c r="Y273" s="91"/>
      <c r="Z273" s="91"/>
      <c r="AA273" s="91"/>
      <c r="AB273" s="91"/>
      <c r="AC273" s="91"/>
      <c r="AD273" s="91"/>
      <c r="AE273" s="91"/>
      <c r="AF273" s="91"/>
    </row>
    <row r="274" spans="2:32">
      <c r="B274" s="375" t="s">
        <v>135</v>
      </c>
      <c r="C274" s="376"/>
      <c r="D274" s="375" t="s">
        <v>942</v>
      </c>
      <c r="E274" s="377" t="s">
        <v>943</v>
      </c>
      <c r="F274" s="368" t="s">
        <v>787</v>
      </c>
      <c r="G274" s="368"/>
      <c r="H274" s="368"/>
      <c r="I274" s="368"/>
      <c r="J274" s="368"/>
      <c r="K274" s="368"/>
      <c r="L274" s="91"/>
      <c r="M274" s="91"/>
      <c r="N274" s="91"/>
      <c r="O274" s="91"/>
      <c r="P274" s="91"/>
      <c r="Q274" s="91"/>
      <c r="R274" s="91"/>
      <c r="S274" s="91"/>
      <c r="T274" s="91"/>
      <c r="U274" s="91"/>
      <c r="V274" s="91"/>
      <c r="W274" s="91"/>
      <c r="X274" s="91"/>
      <c r="Y274" s="91"/>
      <c r="Z274" s="91"/>
      <c r="AA274" s="91"/>
      <c r="AB274" s="91"/>
      <c r="AC274" s="91"/>
      <c r="AD274" s="91"/>
      <c r="AE274" s="91"/>
      <c r="AF274" s="91"/>
    </row>
    <row r="275" spans="2:32">
      <c r="B275" s="368"/>
      <c r="C275" s="368"/>
      <c r="D275" s="375" t="s">
        <v>944</v>
      </c>
      <c r="E275" s="377" t="s">
        <v>945</v>
      </c>
      <c r="F275" s="368" t="s">
        <v>787</v>
      </c>
      <c r="G275" s="368"/>
      <c r="H275" s="368"/>
      <c r="I275" s="368"/>
      <c r="J275" s="368"/>
      <c r="K275" s="368"/>
      <c r="L275" s="91"/>
      <c r="M275" s="91"/>
      <c r="N275" s="91"/>
      <c r="O275" s="91"/>
      <c r="P275" s="91"/>
      <c r="Q275" s="91"/>
      <c r="R275" s="91"/>
      <c r="S275" s="91"/>
      <c r="T275" s="91"/>
      <c r="U275" s="91"/>
      <c r="V275" s="91"/>
      <c r="W275" s="91"/>
      <c r="X275" s="91"/>
      <c r="Y275" s="91"/>
      <c r="Z275" s="91"/>
      <c r="AA275" s="91"/>
      <c r="AB275" s="91"/>
      <c r="AC275" s="91"/>
      <c r="AD275" s="91"/>
      <c r="AE275" s="91"/>
      <c r="AF275" s="91"/>
    </row>
    <row r="276" spans="2:32">
      <c r="B276" s="368"/>
      <c r="C276" s="368"/>
      <c r="D276" s="375" t="s">
        <v>946</v>
      </c>
      <c r="E276" s="377" t="s">
        <v>947</v>
      </c>
      <c r="F276" s="368" t="s">
        <v>787</v>
      </c>
      <c r="G276" s="368"/>
      <c r="H276" s="368"/>
      <c r="I276" s="368"/>
      <c r="J276" s="368"/>
      <c r="K276" s="368"/>
      <c r="L276" s="91"/>
      <c r="M276" s="91"/>
      <c r="N276" s="91"/>
      <c r="O276" s="91"/>
      <c r="P276" s="91"/>
      <c r="Q276" s="91"/>
      <c r="R276" s="91"/>
      <c r="S276" s="91"/>
      <c r="T276" s="91"/>
      <c r="U276" s="91"/>
      <c r="V276" s="91"/>
      <c r="W276" s="91"/>
      <c r="X276" s="91"/>
      <c r="Y276" s="91"/>
      <c r="Z276" s="91"/>
      <c r="AA276" s="91"/>
      <c r="AB276" s="91"/>
      <c r="AC276" s="91"/>
      <c r="AD276" s="91"/>
      <c r="AE276" s="91"/>
      <c r="AF276" s="91"/>
    </row>
    <row r="277" spans="2:32">
      <c r="B277" s="368"/>
      <c r="C277" s="368"/>
      <c r="D277" s="375" t="s">
        <v>948</v>
      </c>
      <c r="E277" s="377" t="s">
        <v>949</v>
      </c>
      <c r="F277" s="368" t="s">
        <v>787</v>
      </c>
      <c r="G277" s="368"/>
      <c r="H277" s="368"/>
      <c r="I277" s="368"/>
      <c r="J277" s="368"/>
      <c r="K277" s="368"/>
      <c r="L277" s="91"/>
      <c r="M277" s="91"/>
      <c r="N277" s="91"/>
      <c r="O277" s="91"/>
      <c r="P277" s="91"/>
      <c r="Q277" s="91"/>
      <c r="R277" s="91"/>
      <c r="S277" s="91"/>
      <c r="T277" s="91"/>
      <c r="U277" s="91"/>
      <c r="V277" s="91"/>
      <c r="W277" s="91"/>
      <c r="X277" s="91"/>
      <c r="Y277" s="91"/>
      <c r="Z277" s="91"/>
      <c r="AA277" s="91"/>
      <c r="AB277" s="91"/>
      <c r="AC277" s="91"/>
      <c r="AD277" s="91"/>
      <c r="AE277" s="91"/>
      <c r="AF277" s="91"/>
    </row>
    <row r="278" spans="2:32">
      <c r="B278" s="368"/>
      <c r="C278" s="368"/>
      <c r="D278" s="375" t="s">
        <v>950</v>
      </c>
      <c r="E278" s="377" t="s">
        <v>951</v>
      </c>
      <c r="F278" s="368" t="s">
        <v>787</v>
      </c>
      <c r="G278" s="368"/>
      <c r="H278" s="368"/>
      <c r="I278" s="368"/>
      <c r="J278" s="368"/>
      <c r="K278" s="368"/>
      <c r="L278" s="91"/>
      <c r="M278" s="91"/>
      <c r="N278" s="91"/>
      <c r="O278" s="91"/>
      <c r="P278" s="91"/>
      <c r="Q278" s="91"/>
      <c r="R278" s="91"/>
      <c r="S278" s="91"/>
      <c r="T278" s="91"/>
      <c r="U278" s="91"/>
      <c r="V278" s="91"/>
      <c r="W278" s="91"/>
      <c r="X278" s="91"/>
      <c r="Y278" s="91"/>
      <c r="Z278" s="91"/>
      <c r="AA278" s="91"/>
      <c r="AB278" s="91"/>
      <c r="AC278" s="91"/>
      <c r="AD278" s="91"/>
      <c r="AE278" s="91"/>
      <c r="AF278" s="91"/>
    </row>
    <row r="279" spans="2:32">
      <c r="B279" s="91" t="s">
        <v>608</v>
      </c>
      <c r="C279" s="91"/>
      <c r="D279" s="91" t="s">
        <v>792</v>
      </c>
      <c r="E279" s="377" t="s">
        <v>952</v>
      </c>
      <c r="F279" s="368" t="s">
        <v>188</v>
      </c>
      <c r="G279" s="91"/>
      <c r="H279" s="91"/>
      <c r="I279" s="91"/>
      <c r="J279" s="91"/>
      <c r="K279" s="91"/>
      <c r="L279" s="91"/>
      <c r="M279" s="91"/>
      <c r="N279" s="91"/>
      <c r="O279" s="91"/>
      <c r="P279" s="91"/>
      <c r="Q279" s="91"/>
      <c r="R279" s="91"/>
      <c r="S279" s="91"/>
      <c r="T279" s="91"/>
      <c r="U279" s="91"/>
      <c r="V279" s="91"/>
      <c r="W279" s="91"/>
      <c r="X279" s="91"/>
      <c r="Y279" s="91"/>
      <c r="Z279" s="91"/>
      <c r="AA279" s="91"/>
      <c r="AB279" s="91"/>
      <c r="AC279" s="91"/>
      <c r="AD279" s="91"/>
      <c r="AE279" s="91"/>
      <c r="AF279" s="91"/>
    </row>
    <row r="280" spans="2:32">
      <c r="B280" s="91"/>
      <c r="C280" s="91"/>
      <c r="D280" s="91"/>
      <c r="E280" s="91"/>
      <c r="F280" s="91"/>
      <c r="G280" s="91"/>
      <c r="H280" s="91"/>
      <c r="I280" s="91"/>
      <c r="J280" s="91"/>
      <c r="K280" s="91"/>
      <c r="L280" s="91"/>
      <c r="M280" s="91"/>
      <c r="N280" s="91"/>
      <c r="O280" s="91"/>
      <c r="P280" s="91"/>
      <c r="Q280" s="91"/>
      <c r="R280" s="91"/>
      <c r="S280" s="91"/>
      <c r="T280" s="91"/>
      <c r="U280" s="91"/>
      <c r="V280" s="91"/>
      <c r="W280" s="91"/>
      <c r="X280" s="91"/>
      <c r="Y280" s="91"/>
      <c r="Z280" s="91"/>
      <c r="AA280" s="91"/>
      <c r="AB280" s="91"/>
      <c r="AC280" s="91"/>
      <c r="AD280" s="91"/>
      <c r="AE280" s="91"/>
      <c r="AF280" s="91"/>
    </row>
    <row r="281" spans="2:32">
      <c r="B281" s="91"/>
      <c r="C281" s="91"/>
      <c r="D281" s="91"/>
      <c r="E281" s="91"/>
      <c r="F281" s="91"/>
      <c r="G281" s="91"/>
      <c r="H281" s="91"/>
      <c r="I281" s="91"/>
      <c r="J281" s="91"/>
      <c r="K281" s="91"/>
      <c r="L281" s="91"/>
      <c r="M281" s="91"/>
      <c r="N281" s="91"/>
      <c r="O281" s="91"/>
      <c r="P281" s="91"/>
      <c r="Q281" s="91"/>
      <c r="R281" s="91"/>
      <c r="S281" s="91"/>
      <c r="T281" s="91"/>
      <c r="U281" s="91"/>
      <c r="V281" s="91"/>
      <c r="W281" s="91"/>
      <c r="X281" s="91"/>
      <c r="Y281" s="91"/>
      <c r="Z281" s="91"/>
      <c r="AA281" s="91"/>
      <c r="AB281" s="91"/>
      <c r="AC281" s="91"/>
      <c r="AD281" s="91"/>
      <c r="AE281" s="91"/>
      <c r="AF281" s="91"/>
    </row>
    <row r="282" spans="2:32">
      <c r="B282" s="91"/>
      <c r="C282" s="91"/>
      <c r="D282" s="91"/>
      <c r="E282" s="91"/>
      <c r="F282" s="91"/>
      <c r="G282" s="91"/>
      <c r="H282" s="91"/>
      <c r="I282" s="91"/>
      <c r="J282" s="91"/>
      <c r="K282" s="91"/>
      <c r="L282" s="91"/>
      <c r="M282" s="91"/>
      <c r="N282" s="91"/>
      <c r="O282" s="91"/>
      <c r="P282" s="91"/>
      <c r="Q282" s="91"/>
      <c r="R282" s="91"/>
      <c r="S282" s="91"/>
      <c r="T282" s="91"/>
      <c r="U282" s="91"/>
      <c r="V282" s="91"/>
      <c r="W282" s="91"/>
      <c r="X282" s="91"/>
      <c r="Y282" s="91"/>
      <c r="Z282" s="91"/>
      <c r="AA282" s="91"/>
      <c r="AB282" s="91"/>
      <c r="AC282" s="91"/>
      <c r="AD282" s="91"/>
      <c r="AE282" s="91"/>
      <c r="AF282" s="91"/>
    </row>
    <row r="283" spans="2:32">
      <c r="B283" s="91"/>
      <c r="C283" s="91"/>
      <c r="D283" s="91"/>
      <c r="E283" s="91"/>
      <c r="F283" s="91"/>
      <c r="G283" s="91"/>
      <c r="H283" s="91"/>
      <c r="I283" s="91"/>
      <c r="J283" s="91"/>
      <c r="K283" s="91"/>
      <c r="L283" s="91"/>
      <c r="M283" s="91"/>
      <c r="N283" s="91"/>
      <c r="O283" s="91"/>
      <c r="P283" s="91"/>
      <c r="Q283" s="91"/>
      <c r="R283" s="91"/>
      <c r="S283" s="91"/>
      <c r="T283" s="91"/>
      <c r="U283" s="91"/>
      <c r="V283" s="91"/>
      <c r="W283" s="91"/>
      <c r="X283" s="91"/>
      <c r="Y283" s="91"/>
      <c r="Z283" s="91"/>
      <c r="AA283" s="91"/>
      <c r="AB283" s="91"/>
      <c r="AC283" s="91"/>
      <c r="AD283" s="91"/>
      <c r="AE283" s="91"/>
      <c r="AF283" s="91"/>
    </row>
    <row r="284" spans="2:32">
      <c r="B284" s="91"/>
      <c r="C284" s="91"/>
      <c r="D284" s="91"/>
      <c r="E284" s="91"/>
      <c r="F284" s="91"/>
      <c r="G284" s="91"/>
      <c r="H284" s="91"/>
      <c r="I284" s="91"/>
      <c r="J284" s="91"/>
      <c r="K284" s="91"/>
      <c r="L284" s="91"/>
      <c r="M284" s="91"/>
      <c r="N284" s="91"/>
      <c r="O284" s="91"/>
      <c r="P284" s="91"/>
      <c r="Q284" s="91"/>
      <c r="R284" s="91"/>
      <c r="S284" s="91"/>
      <c r="T284" s="91"/>
      <c r="U284" s="91"/>
      <c r="V284" s="91"/>
      <c r="W284" s="91"/>
      <c r="X284" s="91"/>
      <c r="Y284" s="91"/>
      <c r="Z284" s="91"/>
      <c r="AA284" s="91"/>
      <c r="AB284" s="91"/>
      <c r="AC284" s="91"/>
      <c r="AD284" s="91"/>
      <c r="AE284" s="91"/>
      <c r="AF284" s="91"/>
    </row>
    <row r="285" spans="2:32">
      <c r="B285" s="91"/>
      <c r="C285" s="91"/>
      <c r="D285" s="91"/>
      <c r="E285" s="91"/>
      <c r="F285" s="91"/>
      <c r="G285" s="91"/>
      <c r="H285" s="91"/>
      <c r="I285" s="91"/>
      <c r="J285" s="91"/>
      <c r="K285" s="91"/>
      <c r="L285" s="91"/>
      <c r="M285" s="91"/>
      <c r="N285" s="91"/>
      <c r="O285" s="91"/>
      <c r="P285" s="91"/>
      <c r="Q285" s="91"/>
      <c r="R285" s="91"/>
      <c r="S285" s="91"/>
      <c r="T285" s="91"/>
      <c r="U285" s="91"/>
      <c r="V285" s="91"/>
      <c r="W285" s="91"/>
      <c r="X285" s="91"/>
      <c r="Y285" s="91"/>
      <c r="Z285" s="91"/>
      <c r="AA285" s="91"/>
      <c r="AB285" s="91"/>
      <c r="AC285" s="91"/>
      <c r="AD285" s="91"/>
      <c r="AE285" s="91"/>
      <c r="AF285" s="91"/>
    </row>
    <row r="286" spans="2:32">
      <c r="B286" s="91"/>
      <c r="C286" s="91"/>
      <c r="D286" s="91"/>
      <c r="E286" s="91"/>
      <c r="F286" s="91"/>
      <c r="G286" s="91"/>
      <c r="H286" s="91"/>
      <c r="I286" s="91"/>
      <c r="J286" s="91"/>
      <c r="K286" s="91"/>
      <c r="L286" s="91"/>
      <c r="M286" s="91"/>
      <c r="N286" s="91"/>
      <c r="O286" s="91"/>
      <c r="P286" s="91"/>
      <c r="Q286" s="91"/>
      <c r="R286" s="91"/>
      <c r="S286" s="91"/>
      <c r="T286" s="91"/>
      <c r="U286" s="91"/>
      <c r="V286" s="91"/>
      <c r="W286" s="91"/>
      <c r="X286" s="91"/>
      <c r="Y286" s="91"/>
      <c r="Z286" s="91"/>
      <c r="AA286" s="91"/>
      <c r="AB286" s="91"/>
      <c r="AC286" s="91"/>
      <c r="AD286" s="91"/>
      <c r="AE286" s="91"/>
      <c r="AF286" s="91"/>
    </row>
    <row r="287" spans="2:32">
      <c r="B287" s="91"/>
      <c r="C287" s="91"/>
      <c r="D287" s="91"/>
      <c r="E287" s="91"/>
      <c r="F287" s="91"/>
      <c r="G287" s="91"/>
      <c r="H287" s="91"/>
      <c r="I287" s="91"/>
      <c r="J287" s="91"/>
      <c r="K287" s="91"/>
      <c r="L287" s="91"/>
      <c r="M287" s="91"/>
      <c r="N287" s="91"/>
      <c r="O287" s="91"/>
      <c r="P287" s="91"/>
      <c r="Q287" s="91"/>
      <c r="R287" s="91"/>
      <c r="S287" s="91"/>
      <c r="T287" s="91"/>
      <c r="U287" s="91"/>
      <c r="V287" s="91"/>
      <c r="W287" s="91"/>
      <c r="X287" s="91"/>
      <c r="Y287" s="91"/>
      <c r="Z287" s="91"/>
      <c r="AA287" s="91"/>
      <c r="AB287" s="91"/>
      <c r="AC287" s="91"/>
      <c r="AD287" s="91"/>
      <c r="AE287" s="91"/>
      <c r="AF287" s="91"/>
    </row>
    <row r="288" spans="2:32">
      <c r="B288" s="91"/>
      <c r="C288" s="91"/>
      <c r="D288" s="91"/>
      <c r="E288" s="91"/>
      <c r="F288" s="91"/>
      <c r="G288" s="91"/>
      <c r="H288" s="91"/>
      <c r="I288" s="91"/>
      <c r="J288" s="91"/>
      <c r="K288" s="91"/>
      <c r="L288" s="91"/>
      <c r="M288" s="91"/>
      <c r="N288" s="91"/>
      <c r="O288" s="91"/>
      <c r="P288" s="91"/>
      <c r="Q288" s="91"/>
      <c r="R288" s="91"/>
      <c r="S288" s="91"/>
      <c r="T288" s="91"/>
      <c r="U288" s="91"/>
      <c r="V288" s="91"/>
      <c r="W288" s="91"/>
      <c r="X288" s="91"/>
      <c r="Y288" s="91"/>
      <c r="Z288" s="91"/>
      <c r="AA288" s="91"/>
      <c r="AB288" s="91"/>
      <c r="AC288" s="91"/>
      <c r="AD288" s="91"/>
      <c r="AE288" s="91"/>
      <c r="AF288" s="91"/>
    </row>
    <row r="289" spans="2:32">
      <c r="B289" s="91"/>
      <c r="C289" s="91"/>
      <c r="D289" s="91"/>
      <c r="E289" s="91"/>
      <c r="F289" s="91"/>
      <c r="G289" s="91"/>
      <c r="H289" s="91"/>
      <c r="I289" s="91"/>
      <c r="J289" s="91"/>
      <c r="K289" s="91"/>
      <c r="L289" s="91"/>
      <c r="M289" s="91"/>
      <c r="N289" s="91"/>
      <c r="O289" s="91"/>
      <c r="P289" s="91"/>
      <c r="Q289" s="91"/>
      <c r="R289" s="91"/>
      <c r="S289" s="91"/>
      <c r="T289" s="91"/>
      <c r="U289" s="91"/>
      <c r="V289" s="91"/>
      <c r="W289" s="91"/>
      <c r="X289" s="91"/>
      <c r="Y289" s="91"/>
      <c r="Z289" s="91"/>
      <c r="AA289" s="91"/>
      <c r="AB289" s="91"/>
      <c r="AC289" s="91"/>
      <c r="AD289" s="91"/>
      <c r="AE289" s="91"/>
      <c r="AF289" s="91"/>
    </row>
    <row r="290" spans="2:32">
      <c r="B290" s="91"/>
      <c r="C290" s="91"/>
      <c r="D290" s="91"/>
      <c r="E290" s="91"/>
      <c r="F290" s="91"/>
      <c r="G290" s="91"/>
      <c r="H290" s="91"/>
      <c r="I290" s="91"/>
      <c r="J290" s="91"/>
      <c r="K290" s="91"/>
      <c r="L290" s="91"/>
      <c r="M290" s="91"/>
      <c r="N290" s="91"/>
      <c r="O290" s="91"/>
      <c r="P290" s="91"/>
      <c r="Q290" s="91"/>
      <c r="R290" s="91"/>
      <c r="S290" s="91"/>
      <c r="T290" s="91"/>
      <c r="U290" s="91"/>
      <c r="V290" s="91"/>
      <c r="W290" s="91"/>
      <c r="X290" s="91"/>
      <c r="Y290" s="91"/>
      <c r="Z290" s="91"/>
      <c r="AA290" s="91"/>
      <c r="AB290" s="91"/>
      <c r="AC290" s="91"/>
      <c r="AD290" s="91"/>
      <c r="AE290" s="91"/>
      <c r="AF290" s="91"/>
    </row>
    <row r="291" spans="2:32">
      <c r="B291" s="91"/>
      <c r="C291" s="91"/>
      <c r="D291" s="91"/>
      <c r="E291" s="91"/>
      <c r="F291" s="91"/>
      <c r="G291" s="91"/>
      <c r="H291" s="91"/>
      <c r="I291" s="91"/>
      <c r="J291" s="91"/>
      <c r="K291" s="91"/>
      <c r="L291" s="91"/>
      <c r="M291" s="91"/>
      <c r="N291" s="91"/>
      <c r="O291" s="91"/>
      <c r="P291" s="91"/>
      <c r="Q291" s="91"/>
      <c r="R291" s="91"/>
      <c r="S291" s="91"/>
      <c r="T291" s="91"/>
      <c r="U291" s="91"/>
      <c r="V291" s="91"/>
      <c r="W291" s="91"/>
      <c r="X291" s="91"/>
      <c r="Y291" s="91"/>
      <c r="Z291" s="91"/>
      <c r="AA291" s="91"/>
      <c r="AB291" s="91"/>
      <c r="AC291" s="91"/>
      <c r="AD291" s="91"/>
      <c r="AE291" s="91"/>
      <c r="AF291" s="91"/>
    </row>
    <row r="292" spans="2:32">
      <c r="B292" s="91"/>
      <c r="C292" s="91"/>
      <c r="D292" s="91"/>
      <c r="E292" s="91"/>
      <c r="F292" s="91"/>
      <c r="G292" s="91"/>
      <c r="H292" s="91"/>
      <c r="I292" s="91"/>
      <c r="J292" s="91"/>
      <c r="K292" s="91"/>
      <c r="L292" s="91"/>
      <c r="M292" s="91"/>
      <c r="N292" s="91"/>
      <c r="O292" s="91"/>
      <c r="P292" s="91"/>
      <c r="Q292" s="91"/>
      <c r="R292" s="91"/>
      <c r="S292" s="91"/>
      <c r="T292" s="91"/>
      <c r="U292" s="91"/>
      <c r="V292" s="91"/>
      <c r="W292" s="91"/>
      <c r="X292" s="91"/>
      <c r="Y292" s="91"/>
      <c r="Z292" s="91"/>
      <c r="AA292" s="91"/>
      <c r="AB292" s="91"/>
      <c r="AC292" s="91"/>
      <c r="AD292" s="91"/>
      <c r="AE292" s="91"/>
      <c r="AF292" s="91"/>
    </row>
    <row r="293" spans="2:32">
      <c r="B293" s="91"/>
      <c r="C293" s="91"/>
      <c r="D293" s="91"/>
      <c r="E293" s="91"/>
      <c r="F293" s="91"/>
      <c r="G293" s="91"/>
      <c r="H293" s="91"/>
      <c r="I293" s="91"/>
      <c r="J293" s="91"/>
      <c r="K293" s="91"/>
      <c r="L293" s="91"/>
      <c r="M293" s="91"/>
      <c r="N293" s="91"/>
      <c r="O293" s="91"/>
      <c r="P293" s="91"/>
      <c r="Q293" s="91"/>
      <c r="R293" s="91"/>
      <c r="S293" s="91"/>
      <c r="T293" s="91"/>
      <c r="U293" s="91"/>
      <c r="V293" s="91"/>
      <c r="W293" s="91"/>
      <c r="X293" s="91"/>
      <c r="Y293" s="91"/>
      <c r="Z293" s="91"/>
      <c r="AA293" s="91"/>
      <c r="AB293" s="91"/>
      <c r="AC293" s="91"/>
      <c r="AD293" s="91"/>
      <c r="AE293" s="91"/>
      <c r="AF293" s="91"/>
    </row>
    <row r="294" spans="2:32">
      <c r="B294" s="91"/>
      <c r="C294" s="91"/>
      <c r="D294" s="91"/>
      <c r="E294" s="91"/>
      <c r="F294" s="91"/>
      <c r="G294" s="91"/>
      <c r="H294" s="91"/>
      <c r="I294" s="91"/>
      <c r="J294" s="91"/>
      <c r="K294" s="91"/>
      <c r="L294" s="91"/>
      <c r="M294" s="91"/>
      <c r="N294" s="91"/>
      <c r="O294" s="91"/>
      <c r="P294" s="91"/>
      <c r="Q294" s="91"/>
      <c r="R294" s="91"/>
      <c r="S294" s="91"/>
      <c r="T294" s="91"/>
      <c r="U294" s="91"/>
      <c r="V294" s="91"/>
      <c r="W294" s="91"/>
      <c r="X294" s="91"/>
      <c r="Y294" s="91"/>
      <c r="Z294" s="91"/>
      <c r="AA294" s="91"/>
      <c r="AB294" s="91"/>
      <c r="AC294" s="91"/>
      <c r="AD294" s="91"/>
      <c r="AE294" s="91"/>
      <c r="AF294" s="91"/>
    </row>
    <row r="295" spans="2:32">
      <c r="B295" s="91"/>
      <c r="C295" s="91"/>
      <c r="D295" s="91"/>
      <c r="E295" s="91"/>
      <c r="F295" s="91"/>
      <c r="G295" s="91"/>
      <c r="H295" s="91"/>
      <c r="I295" s="91"/>
      <c r="J295" s="91"/>
      <c r="K295" s="91"/>
      <c r="L295" s="91"/>
      <c r="M295" s="91"/>
      <c r="N295" s="91"/>
      <c r="O295" s="91"/>
      <c r="P295" s="91"/>
      <c r="Q295" s="91"/>
      <c r="R295" s="91"/>
      <c r="S295" s="91"/>
      <c r="T295" s="91"/>
      <c r="U295" s="91"/>
      <c r="V295" s="91"/>
      <c r="W295" s="91"/>
      <c r="X295" s="91"/>
      <c r="Y295" s="91"/>
      <c r="Z295" s="91"/>
      <c r="AA295" s="91"/>
      <c r="AB295" s="91"/>
      <c r="AC295" s="91"/>
      <c r="AD295" s="91"/>
      <c r="AE295" s="91"/>
      <c r="AF295" s="91"/>
    </row>
    <row r="296" spans="2:32">
      <c r="B296" s="91"/>
      <c r="C296" s="91"/>
      <c r="D296" s="91"/>
      <c r="E296" s="91"/>
      <c r="F296" s="91"/>
      <c r="G296" s="91"/>
      <c r="H296" s="91"/>
      <c r="I296" s="91"/>
      <c r="J296" s="91"/>
      <c r="K296" s="91"/>
      <c r="L296" s="91"/>
      <c r="M296" s="91"/>
      <c r="N296" s="91"/>
      <c r="O296" s="91"/>
      <c r="P296" s="91"/>
      <c r="Q296" s="91"/>
      <c r="R296" s="91"/>
      <c r="S296" s="91"/>
      <c r="T296" s="91"/>
      <c r="U296" s="91"/>
      <c r="V296" s="91"/>
      <c r="W296" s="91"/>
      <c r="X296" s="91"/>
      <c r="Y296" s="91"/>
      <c r="Z296" s="91"/>
      <c r="AA296" s="91"/>
      <c r="AB296" s="91"/>
      <c r="AC296" s="91"/>
      <c r="AD296" s="91"/>
      <c r="AE296" s="91"/>
      <c r="AF296" s="91"/>
    </row>
    <row r="297" spans="2:32">
      <c r="B297" s="91"/>
      <c r="C297" s="91"/>
      <c r="D297" s="91"/>
      <c r="E297" s="91"/>
      <c r="F297" s="91"/>
      <c r="G297" s="91"/>
      <c r="H297" s="91"/>
      <c r="I297" s="91"/>
      <c r="J297" s="91"/>
      <c r="K297" s="91"/>
      <c r="L297" s="91"/>
      <c r="M297" s="91"/>
      <c r="N297" s="91"/>
      <c r="O297" s="91"/>
      <c r="P297" s="91"/>
      <c r="Q297" s="91"/>
      <c r="R297" s="91"/>
      <c r="S297" s="91"/>
      <c r="T297" s="91"/>
      <c r="U297" s="91"/>
      <c r="V297" s="91"/>
      <c r="W297" s="91"/>
      <c r="X297" s="91"/>
      <c r="Y297" s="91"/>
      <c r="Z297" s="91"/>
      <c r="AA297" s="91"/>
      <c r="AB297" s="91"/>
      <c r="AC297" s="91"/>
      <c r="AD297" s="91"/>
      <c r="AE297" s="91"/>
      <c r="AF297" s="91"/>
    </row>
    <row r="298" spans="2:32">
      <c r="B298" s="91"/>
      <c r="C298" s="91"/>
      <c r="D298" s="91"/>
      <c r="E298" s="91"/>
      <c r="F298" s="91"/>
      <c r="G298" s="91"/>
      <c r="H298" s="91"/>
      <c r="I298" s="91"/>
      <c r="J298" s="91"/>
      <c r="K298" s="91"/>
      <c r="L298" s="91"/>
      <c r="M298" s="91"/>
      <c r="N298" s="91"/>
      <c r="O298" s="91"/>
      <c r="P298" s="91"/>
      <c r="Q298" s="91"/>
      <c r="R298" s="91"/>
      <c r="S298" s="91"/>
      <c r="T298" s="91"/>
      <c r="U298" s="91"/>
      <c r="V298" s="91"/>
      <c r="W298" s="91"/>
      <c r="X298" s="91"/>
      <c r="Y298" s="91"/>
      <c r="Z298" s="91"/>
      <c r="AA298" s="91"/>
      <c r="AB298" s="91"/>
      <c r="AC298" s="91"/>
      <c r="AD298" s="91"/>
      <c r="AE298" s="91"/>
      <c r="AF298" s="91"/>
    </row>
    <row r="299" spans="2:32">
      <c r="B299" s="91"/>
      <c r="C299" s="91"/>
      <c r="D299" s="91"/>
      <c r="E299" s="91"/>
      <c r="F299" s="91"/>
      <c r="G299" s="91"/>
      <c r="H299" s="91"/>
      <c r="I299" s="91"/>
      <c r="J299" s="91"/>
      <c r="K299" s="91"/>
      <c r="L299" s="91"/>
      <c r="M299" s="91"/>
      <c r="N299" s="91"/>
      <c r="O299" s="91"/>
      <c r="P299" s="91"/>
      <c r="Q299" s="91"/>
      <c r="R299" s="91"/>
      <c r="S299" s="91"/>
      <c r="T299" s="91"/>
      <c r="U299" s="91"/>
      <c r="V299" s="91"/>
      <c r="W299" s="91"/>
      <c r="X299" s="91"/>
      <c r="Y299" s="91"/>
      <c r="Z299" s="91"/>
      <c r="AA299" s="91"/>
      <c r="AB299" s="91"/>
      <c r="AC299" s="91"/>
      <c r="AD299" s="91"/>
      <c r="AE299" s="91"/>
      <c r="AF299" s="91"/>
    </row>
    <row r="300" spans="2:32">
      <c r="B300" s="91"/>
      <c r="C300" s="91"/>
      <c r="D300" s="91"/>
      <c r="E300" s="91"/>
      <c r="F300" s="91"/>
      <c r="G300" s="91"/>
      <c r="H300" s="91"/>
      <c r="I300" s="91"/>
      <c r="J300" s="91"/>
      <c r="K300" s="91"/>
      <c r="L300" s="91"/>
      <c r="M300" s="91"/>
      <c r="N300" s="91"/>
      <c r="O300" s="91"/>
      <c r="P300" s="91"/>
      <c r="Q300" s="91"/>
      <c r="R300" s="91"/>
      <c r="S300" s="91"/>
      <c r="T300" s="91"/>
      <c r="U300" s="91"/>
      <c r="V300" s="91"/>
      <c r="W300" s="91"/>
      <c r="X300" s="91"/>
      <c r="Y300" s="91"/>
      <c r="Z300" s="91"/>
      <c r="AA300" s="91"/>
      <c r="AB300" s="91"/>
      <c r="AC300" s="91"/>
      <c r="AD300" s="91"/>
      <c r="AE300" s="91"/>
      <c r="AF300" s="91"/>
    </row>
    <row r="301" spans="2:32">
      <c r="B301" s="91"/>
      <c r="C301" s="91"/>
      <c r="D301" s="91"/>
      <c r="E301" s="91"/>
      <c r="F301" s="91"/>
      <c r="G301" s="91"/>
      <c r="H301" s="91"/>
      <c r="I301" s="91"/>
      <c r="J301" s="91"/>
      <c r="K301" s="91"/>
      <c r="L301" s="91"/>
      <c r="M301" s="91"/>
      <c r="N301" s="91"/>
      <c r="O301" s="91"/>
      <c r="P301" s="91"/>
      <c r="Q301" s="91"/>
      <c r="R301" s="91"/>
      <c r="S301" s="91"/>
      <c r="T301" s="91"/>
      <c r="U301" s="91"/>
      <c r="V301" s="91"/>
      <c r="W301" s="91"/>
      <c r="X301" s="91"/>
      <c r="Y301" s="91"/>
      <c r="Z301" s="91"/>
      <c r="AA301" s="91"/>
      <c r="AB301" s="91"/>
      <c r="AC301" s="91"/>
      <c r="AD301" s="91"/>
      <c r="AE301" s="91"/>
      <c r="AF301" s="91"/>
    </row>
    <row r="302" spans="2:32">
      <c r="B302" s="91"/>
      <c r="C302" s="91"/>
      <c r="D302" s="91"/>
      <c r="E302" s="91"/>
      <c r="F302" s="91"/>
      <c r="G302" s="91"/>
      <c r="H302" s="91"/>
      <c r="I302" s="91"/>
      <c r="J302" s="91"/>
      <c r="K302" s="91"/>
      <c r="L302" s="91"/>
      <c r="M302" s="91"/>
      <c r="N302" s="91"/>
      <c r="O302" s="91"/>
      <c r="P302" s="91"/>
      <c r="Q302" s="91"/>
      <c r="R302" s="91"/>
      <c r="S302" s="91"/>
      <c r="T302" s="91"/>
      <c r="U302" s="91"/>
      <c r="V302" s="91"/>
      <c r="W302" s="91"/>
      <c r="X302" s="91"/>
      <c r="Y302" s="91"/>
      <c r="Z302" s="91"/>
      <c r="AA302" s="91"/>
      <c r="AB302" s="91"/>
      <c r="AC302" s="91"/>
      <c r="AD302" s="91"/>
      <c r="AE302" s="91"/>
      <c r="AF302" s="91"/>
    </row>
    <row r="303" spans="2:32">
      <c r="B303" s="91"/>
      <c r="C303" s="91"/>
      <c r="D303" s="91"/>
      <c r="E303" s="91"/>
      <c r="F303" s="91"/>
      <c r="G303" s="91"/>
      <c r="H303" s="91"/>
      <c r="I303" s="91"/>
      <c r="J303" s="91"/>
      <c r="K303" s="91"/>
      <c r="L303" s="91"/>
      <c r="M303" s="91"/>
      <c r="N303" s="91"/>
      <c r="O303" s="91"/>
      <c r="P303" s="91"/>
      <c r="Q303" s="91"/>
      <c r="R303" s="91"/>
      <c r="S303" s="91"/>
      <c r="T303" s="91"/>
      <c r="U303" s="91"/>
      <c r="V303" s="91"/>
      <c r="W303" s="91"/>
      <c r="X303" s="91"/>
      <c r="Y303" s="91"/>
      <c r="Z303" s="91"/>
      <c r="AA303" s="91"/>
      <c r="AB303" s="91"/>
      <c r="AC303" s="91"/>
      <c r="AD303" s="91"/>
      <c r="AE303" s="91"/>
      <c r="AF303" s="91"/>
    </row>
    <row r="304" spans="2:32">
      <c r="B304" s="91"/>
      <c r="C304" s="91"/>
      <c r="D304" s="91"/>
      <c r="E304" s="91"/>
      <c r="F304" s="91"/>
      <c r="G304" s="91"/>
      <c r="H304" s="91"/>
      <c r="I304" s="91"/>
      <c r="J304" s="91"/>
      <c r="K304" s="91"/>
      <c r="L304" s="91"/>
      <c r="M304" s="91"/>
      <c r="N304" s="91"/>
      <c r="O304" s="91"/>
      <c r="P304" s="91"/>
      <c r="Q304" s="91"/>
      <c r="R304" s="91"/>
      <c r="S304" s="91"/>
      <c r="T304" s="91"/>
      <c r="U304" s="91"/>
      <c r="V304" s="91"/>
      <c r="W304" s="91"/>
      <c r="X304" s="91"/>
      <c r="Y304" s="91"/>
      <c r="Z304" s="91"/>
      <c r="AA304" s="91"/>
      <c r="AB304" s="91"/>
      <c r="AC304" s="91"/>
      <c r="AD304" s="91"/>
      <c r="AE304" s="91"/>
      <c r="AF304" s="91"/>
    </row>
    <row r="305" spans="2:32">
      <c r="B305" s="91"/>
      <c r="C305" s="91"/>
      <c r="D305" s="91"/>
      <c r="E305" s="91"/>
      <c r="F305" s="91"/>
      <c r="G305" s="91"/>
      <c r="H305" s="91"/>
      <c r="I305" s="91"/>
      <c r="J305" s="91"/>
      <c r="K305" s="91"/>
      <c r="L305" s="91"/>
      <c r="M305" s="91"/>
      <c r="N305" s="91"/>
      <c r="O305" s="91"/>
      <c r="P305" s="91"/>
      <c r="Q305" s="91"/>
      <c r="R305" s="91"/>
      <c r="S305" s="91"/>
      <c r="T305" s="91"/>
      <c r="U305" s="91"/>
      <c r="V305" s="91"/>
      <c r="W305" s="91"/>
      <c r="X305" s="91"/>
      <c r="Y305" s="91"/>
      <c r="Z305" s="91"/>
      <c r="AA305" s="91"/>
      <c r="AB305" s="91"/>
      <c r="AC305" s="91"/>
      <c r="AD305" s="91"/>
      <c r="AE305" s="91"/>
      <c r="AF305" s="91"/>
    </row>
    <row r="306" spans="2:32">
      <c r="B306" s="91"/>
      <c r="C306" s="91"/>
      <c r="D306" s="91"/>
      <c r="E306" s="91"/>
      <c r="F306" s="91"/>
      <c r="G306" s="91"/>
      <c r="H306" s="91"/>
      <c r="I306" s="91"/>
      <c r="J306" s="91"/>
      <c r="K306" s="91"/>
      <c r="L306" s="91"/>
      <c r="M306" s="91"/>
      <c r="N306" s="91"/>
      <c r="O306" s="91"/>
      <c r="P306" s="91"/>
      <c r="Q306" s="91"/>
      <c r="R306" s="91"/>
      <c r="S306" s="91"/>
      <c r="T306" s="91"/>
      <c r="U306" s="91"/>
      <c r="V306" s="91"/>
      <c r="W306" s="91"/>
      <c r="X306" s="91"/>
      <c r="Y306" s="91"/>
      <c r="Z306" s="91"/>
      <c r="AA306" s="91"/>
      <c r="AB306" s="91"/>
      <c r="AC306" s="91"/>
      <c r="AD306" s="91"/>
      <c r="AE306" s="91"/>
      <c r="AF306" s="91"/>
    </row>
    <row r="307" spans="2:32">
      <c r="B307" s="91"/>
      <c r="C307" s="91"/>
      <c r="D307" s="91"/>
      <c r="E307" s="91"/>
      <c r="F307" s="91"/>
      <c r="G307" s="91"/>
      <c r="H307" s="91"/>
      <c r="I307" s="91"/>
      <c r="J307" s="91"/>
      <c r="K307" s="91"/>
      <c r="L307" s="91"/>
      <c r="M307" s="91"/>
      <c r="N307" s="91"/>
      <c r="O307" s="91"/>
      <c r="P307" s="91"/>
      <c r="Q307" s="91"/>
      <c r="R307" s="91"/>
      <c r="S307" s="91"/>
      <c r="T307" s="91"/>
      <c r="U307" s="91"/>
      <c r="V307" s="91"/>
      <c r="W307" s="91"/>
      <c r="X307" s="91"/>
      <c r="Y307" s="91"/>
      <c r="Z307" s="91"/>
      <c r="AA307" s="91"/>
      <c r="AB307" s="91"/>
      <c r="AC307" s="91"/>
      <c r="AD307" s="91"/>
      <c r="AE307" s="91"/>
      <c r="AF307" s="91"/>
    </row>
    <row r="308" spans="2:32">
      <c r="B308" s="91"/>
      <c r="C308" s="91"/>
      <c r="D308" s="91"/>
      <c r="E308" s="91"/>
      <c r="F308" s="91"/>
      <c r="G308" s="91"/>
      <c r="H308" s="91"/>
      <c r="I308" s="91"/>
      <c r="J308" s="91"/>
      <c r="K308" s="91"/>
      <c r="L308" s="91"/>
      <c r="M308" s="91"/>
      <c r="N308" s="91"/>
      <c r="O308" s="91"/>
      <c r="P308" s="91"/>
      <c r="Q308" s="91"/>
      <c r="R308" s="91"/>
      <c r="S308" s="91"/>
      <c r="T308" s="91"/>
      <c r="U308" s="91"/>
      <c r="V308" s="91"/>
      <c r="W308" s="91"/>
      <c r="X308" s="91"/>
      <c r="Y308" s="91"/>
      <c r="Z308" s="91"/>
      <c r="AA308" s="91"/>
      <c r="AB308" s="91"/>
      <c r="AC308" s="91"/>
      <c r="AD308" s="91"/>
      <c r="AE308" s="91"/>
      <c r="AF308" s="91"/>
    </row>
    <row r="309" spans="2:32">
      <c r="B309" s="91"/>
      <c r="C309" s="91"/>
      <c r="D309" s="91"/>
      <c r="E309" s="91"/>
      <c r="F309" s="91"/>
      <c r="G309" s="91"/>
      <c r="H309" s="91"/>
      <c r="I309" s="91"/>
      <c r="J309" s="91"/>
      <c r="K309" s="91"/>
      <c r="L309" s="91"/>
      <c r="M309" s="91"/>
      <c r="N309" s="91"/>
      <c r="O309" s="91"/>
      <c r="P309" s="91"/>
      <c r="Q309" s="91"/>
      <c r="R309" s="91"/>
      <c r="S309" s="91"/>
      <c r="T309" s="91"/>
      <c r="U309" s="91"/>
      <c r="V309" s="91"/>
      <c r="W309" s="91"/>
      <c r="X309" s="91"/>
      <c r="Y309" s="91"/>
      <c r="Z309" s="91"/>
      <c r="AA309" s="91"/>
      <c r="AB309" s="91"/>
      <c r="AC309" s="91"/>
      <c r="AD309" s="91"/>
      <c r="AE309" s="91"/>
      <c r="AF309" s="91"/>
    </row>
    <row r="310" spans="2:32">
      <c r="B310" s="91"/>
      <c r="C310" s="91"/>
      <c r="D310" s="91"/>
      <c r="E310" s="91"/>
      <c r="F310" s="91"/>
      <c r="G310" s="91"/>
      <c r="H310" s="91"/>
      <c r="I310" s="91"/>
      <c r="J310" s="91"/>
      <c r="K310" s="91"/>
      <c r="L310" s="91"/>
      <c r="M310" s="91"/>
      <c r="N310" s="91"/>
      <c r="O310" s="91"/>
      <c r="P310" s="91"/>
      <c r="Q310" s="91"/>
      <c r="R310" s="91"/>
      <c r="S310" s="91"/>
      <c r="T310" s="91"/>
      <c r="U310" s="91"/>
      <c r="V310" s="91"/>
      <c r="W310" s="91"/>
      <c r="X310" s="91"/>
      <c r="Y310" s="91"/>
      <c r="Z310" s="91"/>
      <c r="AA310" s="91"/>
      <c r="AB310" s="91"/>
      <c r="AC310" s="91"/>
      <c r="AD310" s="91"/>
      <c r="AE310" s="91"/>
      <c r="AF310" s="91"/>
    </row>
    <row r="311" spans="2:32">
      <c r="B311" s="91"/>
      <c r="C311" s="91"/>
      <c r="D311" s="91"/>
      <c r="E311" s="91"/>
      <c r="F311" s="91"/>
      <c r="G311" s="91"/>
      <c r="H311" s="91"/>
      <c r="I311" s="91"/>
      <c r="J311" s="91"/>
      <c r="K311" s="91"/>
      <c r="L311" s="91"/>
      <c r="M311" s="91"/>
      <c r="N311" s="91"/>
      <c r="O311" s="91"/>
      <c r="P311" s="91"/>
      <c r="Q311" s="91"/>
      <c r="R311" s="91"/>
      <c r="S311" s="91"/>
      <c r="T311" s="91"/>
      <c r="U311" s="91"/>
      <c r="V311" s="91"/>
      <c r="W311" s="91"/>
      <c r="X311" s="91"/>
      <c r="Y311" s="91"/>
      <c r="Z311" s="91"/>
      <c r="AA311" s="91"/>
      <c r="AB311" s="91"/>
      <c r="AC311" s="91"/>
      <c r="AD311" s="91"/>
      <c r="AE311" s="91"/>
      <c r="AF311" s="91"/>
    </row>
    <row r="312" spans="2:32">
      <c r="B312" s="91"/>
      <c r="C312" s="91"/>
      <c r="D312" s="91"/>
      <c r="E312" s="91"/>
      <c r="F312" s="91"/>
      <c r="G312" s="91"/>
      <c r="H312" s="91"/>
      <c r="I312" s="91"/>
      <c r="J312" s="91"/>
      <c r="K312" s="91"/>
      <c r="L312" s="91"/>
      <c r="M312" s="91"/>
      <c r="N312" s="91"/>
      <c r="O312" s="91"/>
      <c r="P312" s="91"/>
      <c r="Q312" s="91"/>
      <c r="R312" s="91"/>
      <c r="S312" s="91"/>
      <c r="T312" s="91"/>
      <c r="U312" s="91"/>
      <c r="V312" s="91"/>
      <c r="W312" s="91"/>
      <c r="X312" s="91"/>
      <c r="Y312" s="91"/>
      <c r="Z312" s="91"/>
      <c r="AA312" s="91"/>
      <c r="AB312" s="91"/>
      <c r="AC312" s="91"/>
      <c r="AD312" s="91"/>
      <c r="AE312" s="91"/>
      <c r="AF312" s="91"/>
    </row>
    <row r="313" spans="2:32">
      <c r="B313" s="91"/>
      <c r="C313" s="91"/>
      <c r="D313" s="91"/>
      <c r="E313" s="91"/>
      <c r="F313" s="91"/>
      <c r="G313" s="91"/>
      <c r="H313" s="91"/>
      <c r="I313" s="91"/>
      <c r="J313" s="91"/>
      <c r="K313" s="91"/>
      <c r="L313" s="91"/>
      <c r="M313" s="91"/>
      <c r="N313" s="91"/>
      <c r="O313" s="91"/>
      <c r="P313" s="91"/>
      <c r="Q313" s="91"/>
      <c r="R313" s="91"/>
      <c r="S313" s="91"/>
      <c r="T313" s="91"/>
      <c r="U313" s="91"/>
      <c r="V313" s="91"/>
      <c r="W313" s="91"/>
      <c r="X313" s="91"/>
      <c r="Y313" s="91"/>
      <c r="Z313" s="91"/>
      <c r="AA313" s="91"/>
      <c r="AB313" s="91"/>
      <c r="AC313" s="91"/>
      <c r="AD313" s="91"/>
      <c r="AE313" s="91"/>
      <c r="AF313" s="91"/>
    </row>
    <row r="314" spans="2:32">
      <c r="B314" s="91"/>
      <c r="C314" s="91"/>
      <c r="D314" s="91"/>
      <c r="E314" s="91"/>
      <c r="F314" s="91"/>
      <c r="G314" s="91"/>
      <c r="H314" s="91"/>
      <c r="I314" s="91"/>
      <c r="J314" s="91"/>
      <c r="K314" s="91"/>
      <c r="L314" s="91"/>
      <c r="M314" s="91"/>
      <c r="N314" s="91"/>
      <c r="O314" s="91"/>
      <c r="P314" s="91"/>
      <c r="Q314" s="91"/>
      <c r="R314" s="91"/>
      <c r="S314" s="91"/>
      <c r="T314" s="91"/>
      <c r="U314" s="91"/>
      <c r="V314" s="91"/>
      <c r="W314" s="91"/>
      <c r="X314" s="91"/>
      <c r="Y314" s="91"/>
      <c r="Z314" s="91"/>
      <c r="AA314" s="91"/>
      <c r="AB314" s="91"/>
      <c r="AC314" s="91"/>
      <c r="AD314" s="91"/>
      <c r="AE314" s="91"/>
      <c r="AF314" s="91"/>
    </row>
    <row r="315" spans="2:32">
      <c r="B315" s="91"/>
      <c r="C315" s="91"/>
      <c r="D315" s="91"/>
      <c r="E315" s="91"/>
      <c r="F315" s="91"/>
      <c r="G315" s="91"/>
      <c r="H315" s="91"/>
      <c r="I315" s="91"/>
      <c r="J315" s="91"/>
      <c r="K315" s="91"/>
      <c r="L315" s="91"/>
      <c r="M315" s="91"/>
      <c r="N315" s="91"/>
      <c r="O315" s="91"/>
      <c r="P315" s="91"/>
      <c r="Q315" s="91"/>
      <c r="R315" s="91"/>
      <c r="S315" s="91"/>
      <c r="T315" s="91"/>
      <c r="U315" s="91"/>
      <c r="V315" s="91"/>
      <c r="W315" s="91"/>
      <c r="X315" s="91"/>
      <c r="Y315" s="91"/>
      <c r="Z315" s="91"/>
      <c r="AA315" s="91"/>
      <c r="AB315" s="91"/>
      <c r="AC315" s="91"/>
      <c r="AD315" s="91"/>
      <c r="AE315" s="91"/>
      <c r="AF315" s="91"/>
    </row>
    <row r="316" spans="2:32">
      <c r="B316" s="91"/>
      <c r="C316" s="91"/>
      <c r="D316" s="91"/>
      <c r="E316" s="91"/>
      <c r="F316" s="91"/>
      <c r="G316" s="91"/>
      <c r="H316" s="91"/>
      <c r="I316" s="91"/>
      <c r="J316" s="91"/>
      <c r="K316" s="91"/>
      <c r="L316" s="91"/>
      <c r="M316" s="91"/>
      <c r="N316" s="91"/>
      <c r="O316" s="91"/>
      <c r="P316" s="91"/>
      <c r="Q316" s="91"/>
      <c r="R316" s="91"/>
      <c r="S316" s="91"/>
      <c r="T316" s="91"/>
      <c r="U316" s="91"/>
      <c r="V316" s="91"/>
      <c r="W316" s="91"/>
      <c r="X316" s="91"/>
      <c r="Y316" s="91"/>
      <c r="Z316" s="91"/>
      <c r="AA316" s="91"/>
      <c r="AB316" s="91"/>
      <c r="AC316" s="91"/>
      <c r="AD316" s="91"/>
      <c r="AE316" s="91"/>
      <c r="AF316" s="91"/>
    </row>
    <row r="317" spans="2:32">
      <c r="B317" s="91"/>
      <c r="C317" s="91"/>
      <c r="D317" s="91"/>
      <c r="E317" s="91"/>
      <c r="F317" s="91"/>
      <c r="G317" s="91"/>
      <c r="H317" s="91"/>
      <c r="I317" s="91"/>
      <c r="J317" s="91"/>
      <c r="K317" s="91"/>
      <c r="L317" s="91"/>
      <c r="M317" s="91"/>
      <c r="N317" s="91"/>
      <c r="O317" s="91"/>
      <c r="P317" s="91"/>
      <c r="Q317" s="91"/>
      <c r="R317" s="91"/>
      <c r="S317" s="91"/>
      <c r="T317" s="91"/>
      <c r="U317" s="91"/>
      <c r="V317" s="91"/>
      <c r="W317" s="91"/>
      <c r="X317" s="91"/>
      <c r="Y317" s="91"/>
      <c r="Z317" s="91"/>
      <c r="AA317" s="91"/>
      <c r="AB317" s="91"/>
      <c r="AC317" s="91"/>
      <c r="AD317" s="91"/>
      <c r="AE317" s="91"/>
      <c r="AF317" s="91"/>
    </row>
    <row r="318" spans="2:32">
      <c r="B318" s="91"/>
      <c r="C318" s="91"/>
      <c r="D318" s="91"/>
      <c r="E318" s="91"/>
      <c r="F318" s="91"/>
      <c r="G318" s="91"/>
      <c r="H318" s="91"/>
      <c r="I318" s="91"/>
      <c r="J318" s="91"/>
      <c r="K318" s="91"/>
      <c r="L318" s="91"/>
      <c r="M318" s="91"/>
      <c r="N318" s="91"/>
      <c r="O318" s="91"/>
      <c r="P318" s="91"/>
      <c r="Q318" s="91"/>
      <c r="R318" s="91"/>
      <c r="S318" s="91"/>
      <c r="T318" s="91"/>
      <c r="U318" s="91"/>
      <c r="V318" s="91"/>
      <c r="W318" s="91"/>
      <c r="X318" s="91"/>
      <c r="Y318" s="91"/>
      <c r="Z318" s="91"/>
      <c r="AA318" s="91"/>
      <c r="AB318" s="91"/>
      <c r="AC318" s="91"/>
      <c r="AD318" s="91"/>
      <c r="AE318" s="91"/>
      <c r="AF318" s="91"/>
    </row>
    <row r="319" spans="2:32">
      <c r="B319" s="91"/>
      <c r="C319" s="91"/>
      <c r="D319" s="91"/>
      <c r="E319" s="91"/>
      <c r="F319" s="91"/>
      <c r="G319" s="91"/>
      <c r="H319" s="91"/>
      <c r="I319" s="91"/>
      <c r="J319" s="91"/>
      <c r="K319" s="91"/>
      <c r="L319" s="91"/>
      <c r="M319" s="91"/>
      <c r="N319" s="91"/>
      <c r="O319" s="91"/>
      <c r="P319" s="91"/>
      <c r="Q319" s="91"/>
      <c r="R319" s="91"/>
      <c r="S319" s="91"/>
      <c r="T319" s="91"/>
      <c r="U319" s="91"/>
      <c r="V319" s="91"/>
      <c r="W319" s="91"/>
      <c r="X319" s="91"/>
      <c r="Y319" s="91"/>
      <c r="Z319" s="91"/>
      <c r="AA319" s="91"/>
      <c r="AB319" s="91"/>
      <c r="AC319" s="91"/>
      <c r="AD319" s="91"/>
      <c r="AE319" s="91"/>
      <c r="AF319" s="91"/>
    </row>
    <row r="320" spans="2:32">
      <c r="B320" s="91"/>
      <c r="C320" s="91"/>
      <c r="D320" s="91"/>
      <c r="E320" s="91"/>
      <c r="F320" s="91"/>
      <c r="G320" s="91"/>
      <c r="H320" s="91"/>
      <c r="I320" s="91"/>
      <c r="J320" s="91"/>
      <c r="K320" s="91"/>
      <c r="L320" s="91"/>
      <c r="M320" s="91"/>
      <c r="N320" s="91"/>
      <c r="O320" s="91"/>
      <c r="P320" s="91"/>
      <c r="Q320" s="91"/>
      <c r="R320" s="91"/>
      <c r="S320" s="91"/>
      <c r="T320" s="91"/>
      <c r="U320" s="91"/>
      <c r="V320" s="91"/>
      <c r="W320" s="91"/>
      <c r="X320" s="91"/>
      <c r="Y320" s="91"/>
      <c r="Z320" s="91"/>
      <c r="AA320" s="91"/>
      <c r="AB320" s="91"/>
      <c r="AC320" s="91"/>
      <c r="AD320" s="91"/>
      <c r="AE320" s="91"/>
      <c r="AF320" s="91"/>
    </row>
    <row r="321" spans="2:32">
      <c r="B321" s="91"/>
      <c r="C321" s="91"/>
      <c r="D321" s="91"/>
      <c r="E321" s="91"/>
      <c r="F321" s="91"/>
      <c r="G321" s="91"/>
      <c r="H321" s="91"/>
      <c r="I321" s="91"/>
      <c r="J321" s="91"/>
      <c r="K321" s="91"/>
      <c r="L321" s="91"/>
      <c r="M321" s="91"/>
      <c r="N321" s="91"/>
      <c r="O321" s="91"/>
      <c r="P321" s="91"/>
      <c r="Q321" s="91"/>
      <c r="R321" s="91"/>
      <c r="S321" s="91"/>
      <c r="T321" s="91"/>
      <c r="U321" s="91"/>
      <c r="V321" s="91"/>
      <c r="W321" s="91"/>
      <c r="X321" s="91"/>
      <c r="Y321" s="91"/>
      <c r="Z321" s="91"/>
      <c r="AA321" s="91"/>
      <c r="AB321" s="91"/>
      <c r="AC321" s="91"/>
      <c r="AD321" s="91"/>
      <c r="AE321" s="91"/>
      <c r="AF321" s="91"/>
    </row>
    <row r="322" spans="2:32">
      <c r="B322" s="91"/>
      <c r="C322" s="91"/>
      <c r="D322" s="91"/>
      <c r="E322" s="91"/>
      <c r="F322" s="91"/>
      <c r="G322" s="91"/>
      <c r="H322" s="91"/>
      <c r="I322" s="91"/>
      <c r="J322" s="91"/>
      <c r="K322" s="91"/>
      <c r="L322" s="91"/>
      <c r="M322" s="91"/>
      <c r="N322" s="91"/>
      <c r="O322" s="91"/>
      <c r="P322" s="91"/>
      <c r="Q322" s="91"/>
      <c r="R322" s="91"/>
      <c r="S322" s="91"/>
      <c r="T322" s="91"/>
      <c r="U322" s="91"/>
      <c r="V322" s="91"/>
      <c r="W322" s="91"/>
      <c r="X322" s="91"/>
      <c r="Y322" s="91"/>
      <c r="Z322" s="91"/>
      <c r="AA322" s="91"/>
      <c r="AB322" s="91"/>
      <c r="AC322" s="91"/>
      <c r="AD322" s="91"/>
      <c r="AE322" s="91"/>
      <c r="AF322" s="91"/>
    </row>
    <row r="323" spans="2:32">
      <c r="B323" s="91"/>
      <c r="C323" s="91"/>
      <c r="D323" s="91"/>
      <c r="E323" s="91"/>
      <c r="F323" s="91"/>
      <c r="G323" s="91"/>
      <c r="H323" s="91"/>
      <c r="I323" s="91"/>
      <c r="J323" s="91"/>
      <c r="K323" s="91"/>
      <c r="L323" s="91"/>
      <c r="M323" s="91"/>
      <c r="N323" s="91"/>
      <c r="O323" s="91"/>
      <c r="P323" s="91"/>
      <c r="Q323" s="91"/>
      <c r="R323" s="91"/>
      <c r="S323" s="91"/>
      <c r="T323" s="91"/>
      <c r="U323" s="91"/>
      <c r="V323" s="91"/>
      <c r="W323" s="91"/>
      <c r="X323" s="91"/>
      <c r="Y323" s="91"/>
      <c r="Z323" s="91"/>
      <c r="AA323" s="91"/>
      <c r="AB323" s="91"/>
      <c r="AC323" s="91"/>
      <c r="AD323" s="91"/>
      <c r="AE323" s="91"/>
      <c r="AF323" s="91"/>
    </row>
    <row r="324" spans="2:32">
      <c r="B324" s="91"/>
      <c r="C324" s="91"/>
      <c r="D324" s="91"/>
      <c r="E324" s="91"/>
      <c r="F324" s="91"/>
      <c r="G324" s="91"/>
      <c r="H324" s="91"/>
      <c r="I324" s="91"/>
      <c r="J324" s="91"/>
      <c r="K324" s="91"/>
      <c r="L324" s="91"/>
      <c r="M324" s="91"/>
      <c r="N324" s="91"/>
      <c r="O324" s="91"/>
      <c r="P324" s="91"/>
      <c r="Q324" s="91"/>
      <c r="R324" s="91"/>
      <c r="S324" s="91"/>
      <c r="T324" s="91"/>
      <c r="U324" s="91"/>
      <c r="V324" s="91"/>
      <c r="W324" s="91"/>
      <c r="X324" s="91"/>
      <c r="Y324" s="91"/>
      <c r="Z324" s="91"/>
      <c r="AA324" s="91"/>
      <c r="AB324" s="91"/>
      <c r="AC324" s="91"/>
      <c r="AD324" s="91"/>
      <c r="AE324" s="91"/>
      <c r="AF324" s="91"/>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214"/>
  <sheetViews>
    <sheetView topLeftCell="A23" workbookViewId="0">
      <selection activeCell="F222" sqref="F222"/>
    </sheetView>
  </sheetViews>
  <sheetFormatPr defaultColWidth="9.109375" defaultRowHeight="14.4"/>
  <cols>
    <col min="1" max="1" width="20.44140625" style="91" customWidth="1"/>
    <col min="2" max="2" width="12.44140625" style="91" customWidth="1"/>
    <col min="3" max="9" width="9.109375" style="91"/>
    <col min="10" max="10" width="27.44140625" style="91" customWidth="1"/>
    <col min="11" max="16384" width="9.109375" style="91"/>
  </cols>
  <sheetData>
    <row r="1" spans="1:11" ht="15" thickBot="1">
      <c r="A1" s="9" t="s">
        <v>287</v>
      </c>
    </row>
    <row r="2" spans="1:11" ht="15" thickBot="1">
      <c r="A2" s="118"/>
      <c r="B2" s="117" t="s">
        <v>46</v>
      </c>
      <c r="C2" s="117">
        <v>2013</v>
      </c>
      <c r="D2" s="117">
        <v>2020</v>
      </c>
      <c r="E2" s="117">
        <v>2030</v>
      </c>
      <c r="F2" s="117">
        <v>2040</v>
      </c>
      <c r="G2" s="117">
        <v>2050</v>
      </c>
      <c r="J2" s="9" t="s">
        <v>275</v>
      </c>
    </row>
    <row r="3" spans="1:11" ht="15.6" thickTop="1" thickBot="1">
      <c r="A3" s="400" t="s">
        <v>224</v>
      </c>
      <c r="B3" s="401"/>
      <c r="C3" s="401"/>
      <c r="D3" s="401"/>
      <c r="E3" s="401"/>
      <c r="F3" s="401"/>
      <c r="G3" s="402"/>
      <c r="J3" s="91" t="s">
        <v>274</v>
      </c>
      <c r="K3" s="119">
        <v>7.0000000000000007E-2</v>
      </c>
    </row>
    <row r="4" spans="1:11" ht="15" thickBot="1">
      <c r="A4" s="113" t="s">
        <v>225</v>
      </c>
      <c r="B4" s="109" t="s">
        <v>189</v>
      </c>
      <c r="C4" s="108">
        <v>85</v>
      </c>
      <c r="D4" s="108" t="s">
        <v>285</v>
      </c>
      <c r="E4" s="108" t="s">
        <v>285</v>
      </c>
      <c r="F4" s="108" t="s">
        <v>285</v>
      </c>
      <c r="G4" s="108" t="s">
        <v>285</v>
      </c>
      <c r="J4" s="91" t="s">
        <v>273</v>
      </c>
      <c r="K4" s="119">
        <v>0.41</v>
      </c>
    </row>
    <row r="5" spans="1:11" ht="27" thickBot="1">
      <c r="A5" s="113" t="s">
        <v>226</v>
      </c>
      <c r="B5" s="115" t="s">
        <v>189</v>
      </c>
      <c r="C5" s="114">
        <v>88</v>
      </c>
      <c r="D5" s="114" t="s">
        <v>285</v>
      </c>
      <c r="E5" s="114" t="s">
        <v>285</v>
      </c>
      <c r="F5" s="114" t="s">
        <v>285</v>
      </c>
      <c r="G5" s="114" t="s">
        <v>285</v>
      </c>
      <c r="J5" s="91" t="s">
        <v>272</v>
      </c>
      <c r="K5" s="119">
        <v>0.13</v>
      </c>
    </row>
    <row r="6" spans="1:11" ht="15" thickBot="1">
      <c r="A6" s="113" t="s">
        <v>227</v>
      </c>
      <c r="B6" s="112" t="s">
        <v>189</v>
      </c>
      <c r="C6" s="111">
        <v>220</v>
      </c>
      <c r="D6" s="111" t="s">
        <v>285</v>
      </c>
      <c r="E6" s="111" t="s">
        <v>285</v>
      </c>
      <c r="F6" s="111" t="s">
        <v>285</v>
      </c>
      <c r="G6" s="111" t="s">
        <v>285</v>
      </c>
      <c r="J6" s="91" t="s">
        <v>271</v>
      </c>
      <c r="K6" s="119">
        <v>0.22</v>
      </c>
    </row>
    <row r="7" spans="1:11" ht="15" thickBot="1">
      <c r="A7" s="113" t="s">
        <v>228</v>
      </c>
      <c r="B7" s="115" t="s">
        <v>229</v>
      </c>
      <c r="C7" s="114">
        <v>95</v>
      </c>
      <c r="D7" s="114" t="s">
        <v>285</v>
      </c>
      <c r="E7" s="114" t="s">
        <v>285</v>
      </c>
      <c r="F7" s="114" t="s">
        <v>285</v>
      </c>
      <c r="G7" s="114" t="s">
        <v>285</v>
      </c>
      <c r="J7" s="91" t="s">
        <v>270</v>
      </c>
      <c r="K7" s="119">
        <v>0.17</v>
      </c>
    </row>
    <row r="8" spans="1:11" ht="15" thickBot="1">
      <c r="A8" s="113" t="s">
        <v>230</v>
      </c>
      <c r="B8" s="112" t="s">
        <v>229</v>
      </c>
      <c r="C8" s="111">
        <v>15</v>
      </c>
      <c r="D8" s="111" t="s">
        <v>285</v>
      </c>
      <c r="E8" s="111" t="s">
        <v>285</v>
      </c>
      <c r="F8" s="111" t="s">
        <v>285</v>
      </c>
      <c r="G8" s="111" t="s">
        <v>285</v>
      </c>
    </row>
    <row r="9" spans="1:11" ht="15" thickBot="1">
      <c r="A9" s="113" t="s">
        <v>231</v>
      </c>
      <c r="B9" s="115" t="s">
        <v>232</v>
      </c>
      <c r="C9" s="114">
        <v>30</v>
      </c>
      <c r="D9" s="114" t="s">
        <v>285</v>
      </c>
      <c r="E9" s="114" t="s">
        <v>285</v>
      </c>
      <c r="F9" s="114" t="s">
        <v>285</v>
      </c>
      <c r="G9" s="114" t="s">
        <v>285</v>
      </c>
    </row>
    <row r="10" spans="1:11" ht="15" thickBot="1">
      <c r="A10" s="113" t="s">
        <v>233</v>
      </c>
      <c r="B10" s="112" t="s">
        <v>229</v>
      </c>
      <c r="C10" s="111">
        <v>38</v>
      </c>
      <c r="D10" s="111" t="s">
        <v>285</v>
      </c>
      <c r="E10" s="111" t="s">
        <v>285</v>
      </c>
      <c r="F10" s="111" t="s">
        <v>285</v>
      </c>
      <c r="G10" s="111" t="s">
        <v>285</v>
      </c>
    </row>
    <row r="11" spans="1:11" ht="15" thickBot="1">
      <c r="A11" s="397" t="s">
        <v>236</v>
      </c>
      <c r="B11" s="398"/>
      <c r="C11" s="398"/>
      <c r="D11" s="398"/>
      <c r="E11" s="398"/>
      <c r="F11" s="398"/>
      <c r="G11" s="399"/>
    </row>
    <row r="12" spans="1:11" ht="16.2" thickBot="1">
      <c r="A12" s="113" t="s">
        <v>237</v>
      </c>
      <c r="B12" s="109" t="s">
        <v>238</v>
      </c>
      <c r="C12" s="108">
        <v>770</v>
      </c>
      <c r="D12" s="108" t="s">
        <v>285</v>
      </c>
      <c r="E12" s="108" t="s">
        <v>285</v>
      </c>
      <c r="F12" s="108" t="s">
        <v>285</v>
      </c>
      <c r="G12" s="108" t="s">
        <v>285</v>
      </c>
    </row>
    <row r="13" spans="1:11" ht="16.2" thickBot="1">
      <c r="A13" s="113" t="s">
        <v>239</v>
      </c>
      <c r="B13" s="115" t="s">
        <v>238</v>
      </c>
      <c r="C13" s="114">
        <v>630</v>
      </c>
      <c r="D13" s="114" t="s">
        <v>285</v>
      </c>
      <c r="E13" s="114" t="s">
        <v>285</v>
      </c>
      <c r="F13" s="114" t="s">
        <v>285</v>
      </c>
      <c r="G13" s="114" t="s">
        <v>285</v>
      </c>
    </row>
    <row r="14" spans="1:11" ht="16.2" thickBot="1">
      <c r="A14" s="113" t="s">
        <v>240</v>
      </c>
      <c r="B14" s="112" t="s">
        <v>238</v>
      </c>
      <c r="C14" s="111">
        <v>920</v>
      </c>
      <c r="D14" s="111" t="s">
        <v>285</v>
      </c>
      <c r="E14" s="111" t="s">
        <v>285</v>
      </c>
      <c r="F14" s="111" t="s">
        <v>285</v>
      </c>
      <c r="G14" s="111" t="s">
        <v>285</v>
      </c>
    </row>
    <row r="15" spans="1:11" ht="27" thickBot="1">
      <c r="A15" s="113" t="s">
        <v>286</v>
      </c>
      <c r="B15" s="115"/>
      <c r="C15" s="403" t="s">
        <v>242</v>
      </c>
      <c r="D15" s="404"/>
      <c r="E15" s="404"/>
      <c r="F15" s="404"/>
      <c r="G15" s="405"/>
    </row>
    <row r="16" spans="1:11" ht="15" thickBot="1">
      <c r="A16" s="113" t="s">
        <v>243</v>
      </c>
      <c r="B16" s="112" t="s">
        <v>229</v>
      </c>
      <c r="C16" s="111">
        <v>1</v>
      </c>
      <c r="D16" s="111" t="s">
        <v>285</v>
      </c>
      <c r="E16" s="111" t="s">
        <v>285</v>
      </c>
      <c r="F16" s="111" t="s">
        <v>285</v>
      </c>
      <c r="G16" s="111" t="s">
        <v>285</v>
      </c>
    </row>
    <row r="17" spans="1:7" ht="27" thickBot="1">
      <c r="A17" s="113" t="s">
        <v>245</v>
      </c>
      <c r="B17" s="115" t="s">
        <v>246</v>
      </c>
      <c r="C17" s="114">
        <v>1</v>
      </c>
      <c r="D17" s="114" t="s">
        <v>285</v>
      </c>
      <c r="E17" s="114" t="s">
        <v>285</v>
      </c>
      <c r="F17" s="114" t="s">
        <v>285</v>
      </c>
      <c r="G17" s="114" t="s">
        <v>285</v>
      </c>
    </row>
    <row r="18" spans="1:7" ht="16.2" thickBot="1">
      <c r="A18" s="113" t="s">
        <v>247</v>
      </c>
      <c r="B18" s="112" t="s">
        <v>248</v>
      </c>
      <c r="C18" s="111">
        <v>13</v>
      </c>
      <c r="D18" s="111" t="s">
        <v>285</v>
      </c>
      <c r="E18" s="111" t="s">
        <v>285</v>
      </c>
      <c r="F18" s="111" t="s">
        <v>285</v>
      </c>
      <c r="G18" s="111" t="s">
        <v>285</v>
      </c>
    </row>
    <row r="19" spans="1:7" ht="15" thickBot="1">
      <c r="A19" s="397" t="s">
        <v>251</v>
      </c>
      <c r="B19" s="398"/>
      <c r="C19" s="398"/>
      <c r="D19" s="398"/>
      <c r="E19" s="398"/>
      <c r="F19" s="398"/>
      <c r="G19" s="399"/>
    </row>
    <row r="20" spans="1:7" ht="29.4" thickBot="1">
      <c r="A20" s="113" t="s">
        <v>252</v>
      </c>
      <c r="B20" s="109" t="s">
        <v>253</v>
      </c>
      <c r="C20" s="108">
        <v>635</v>
      </c>
      <c r="D20" s="108" t="s">
        <v>285</v>
      </c>
      <c r="E20" s="108" t="s">
        <v>285</v>
      </c>
      <c r="F20" s="108" t="s">
        <v>285</v>
      </c>
      <c r="G20" s="108" t="s">
        <v>285</v>
      </c>
    </row>
    <row r="21" spans="1:7" ht="29.4" thickBot="1">
      <c r="A21" s="120" t="s">
        <v>254</v>
      </c>
      <c r="B21" s="115" t="s">
        <v>253</v>
      </c>
      <c r="C21" s="114">
        <v>120</v>
      </c>
      <c r="D21" s="114" t="s">
        <v>285</v>
      </c>
      <c r="E21" s="114" t="s">
        <v>285</v>
      </c>
      <c r="F21" s="114" t="s">
        <v>285</v>
      </c>
      <c r="G21" s="114" t="s">
        <v>285</v>
      </c>
    </row>
    <row r="22" spans="1:7" ht="15" thickBot="1">
      <c r="A22" s="113" t="s">
        <v>255</v>
      </c>
      <c r="B22" s="112" t="s">
        <v>256</v>
      </c>
      <c r="C22" s="111" t="s">
        <v>244</v>
      </c>
      <c r="D22" s="111" t="s">
        <v>285</v>
      </c>
      <c r="E22" s="111" t="s">
        <v>285</v>
      </c>
      <c r="F22" s="111" t="s">
        <v>285</v>
      </c>
      <c r="G22" s="111" t="s">
        <v>285</v>
      </c>
    </row>
    <row r="23" spans="1:7" ht="15" thickBot="1">
      <c r="A23" s="113" t="s">
        <v>257</v>
      </c>
      <c r="B23" s="115" t="s">
        <v>256</v>
      </c>
      <c r="C23" s="114" t="s">
        <v>244</v>
      </c>
      <c r="D23" s="114" t="s">
        <v>285</v>
      </c>
      <c r="E23" s="114" t="s">
        <v>285</v>
      </c>
      <c r="F23" s="114" t="s">
        <v>285</v>
      </c>
      <c r="G23" s="114" t="s">
        <v>285</v>
      </c>
    </row>
    <row r="24" spans="1:7" ht="15" thickBot="1">
      <c r="A24" s="397" t="s">
        <v>258</v>
      </c>
      <c r="B24" s="398"/>
      <c r="C24" s="398"/>
      <c r="D24" s="398"/>
      <c r="E24" s="398"/>
      <c r="F24" s="398"/>
      <c r="G24" s="399"/>
    </row>
    <row r="25" spans="1:7" ht="15" thickBot="1">
      <c r="A25" s="110" t="s">
        <v>262</v>
      </c>
      <c r="B25" s="116" t="s">
        <v>260</v>
      </c>
      <c r="C25" s="172" t="s">
        <v>244</v>
      </c>
      <c r="D25" s="172" t="s">
        <v>285</v>
      </c>
      <c r="E25" s="172" t="s">
        <v>285</v>
      </c>
      <c r="F25" s="172" t="s">
        <v>285</v>
      </c>
      <c r="G25" s="172" t="s">
        <v>285</v>
      </c>
    </row>
    <row r="27" spans="1:7" ht="15" thickBot="1">
      <c r="A27" s="9" t="s">
        <v>284</v>
      </c>
    </row>
    <row r="28" spans="1:7" ht="15" thickBot="1">
      <c r="A28" s="118"/>
      <c r="B28" s="117" t="s">
        <v>46</v>
      </c>
      <c r="C28" s="117">
        <v>2013</v>
      </c>
      <c r="D28" s="117">
        <v>2020</v>
      </c>
      <c r="E28" s="117">
        <v>2030</v>
      </c>
      <c r="F28" s="117">
        <v>2040</v>
      </c>
      <c r="G28" s="117">
        <v>2050</v>
      </c>
    </row>
    <row r="29" spans="1:7" ht="15.6" thickTop="1" thickBot="1">
      <c r="A29" s="400" t="s">
        <v>224</v>
      </c>
      <c r="B29" s="401"/>
      <c r="C29" s="401"/>
      <c r="D29" s="401"/>
      <c r="E29" s="401"/>
      <c r="F29" s="401"/>
      <c r="G29" s="402"/>
    </row>
    <row r="30" spans="1:7" ht="15" thickBot="1">
      <c r="A30" s="113" t="s">
        <v>225</v>
      </c>
      <c r="B30" s="109" t="s">
        <v>189</v>
      </c>
      <c r="C30" s="108">
        <v>250</v>
      </c>
      <c r="D30" s="108">
        <v>250</v>
      </c>
      <c r="E30" s="108">
        <v>250</v>
      </c>
      <c r="F30" s="108">
        <v>250</v>
      </c>
      <c r="G30" s="108">
        <v>250</v>
      </c>
    </row>
    <row r="31" spans="1:7" ht="27" thickBot="1">
      <c r="A31" s="113" t="s">
        <v>226</v>
      </c>
      <c r="B31" s="115" t="s">
        <v>189</v>
      </c>
      <c r="C31" s="114">
        <v>260</v>
      </c>
      <c r="D31" s="114">
        <v>260</v>
      </c>
      <c r="E31" s="114">
        <v>260</v>
      </c>
      <c r="F31" s="114">
        <v>260</v>
      </c>
      <c r="G31" s="114">
        <v>260</v>
      </c>
    </row>
    <row r="32" spans="1:7" ht="15" thickBot="1">
      <c r="A32" s="113" t="s">
        <v>227</v>
      </c>
      <c r="B32" s="112" t="s">
        <v>189</v>
      </c>
      <c r="C32" s="111">
        <v>630</v>
      </c>
      <c r="D32" s="111">
        <v>630</v>
      </c>
      <c r="E32" s="111">
        <v>580</v>
      </c>
      <c r="F32" s="111">
        <v>570</v>
      </c>
      <c r="G32" s="111">
        <v>560</v>
      </c>
    </row>
    <row r="33" spans="1:7" ht="15" thickBot="1">
      <c r="A33" s="113" t="s">
        <v>228</v>
      </c>
      <c r="B33" s="115" t="s">
        <v>229</v>
      </c>
      <c r="C33" s="114">
        <v>95</v>
      </c>
      <c r="D33" s="114">
        <v>95</v>
      </c>
      <c r="E33" s="114">
        <v>95</v>
      </c>
      <c r="F33" s="114">
        <v>95</v>
      </c>
      <c r="G33" s="114">
        <v>95</v>
      </c>
    </row>
    <row r="34" spans="1:7" ht="15" thickBot="1">
      <c r="A34" s="113" t="s">
        <v>230</v>
      </c>
      <c r="B34" s="112" t="s">
        <v>229</v>
      </c>
      <c r="C34" s="111">
        <v>15</v>
      </c>
      <c r="D34" s="111">
        <v>15</v>
      </c>
      <c r="E34" s="111">
        <v>15</v>
      </c>
      <c r="F34" s="111">
        <v>15</v>
      </c>
      <c r="G34" s="111">
        <v>15</v>
      </c>
    </row>
    <row r="35" spans="1:7" ht="15" thickBot="1">
      <c r="A35" s="113" t="s">
        <v>231</v>
      </c>
      <c r="B35" s="115" t="s">
        <v>232</v>
      </c>
      <c r="C35" s="114">
        <v>30</v>
      </c>
      <c r="D35" s="114">
        <v>30</v>
      </c>
      <c r="E35" s="114">
        <v>30</v>
      </c>
      <c r="F35" s="114">
        <v>30</v>
      </c>
      <c r="G35" s="114">
        <v>30</v>
      </c>
    </row>
    <row r="36" spans="1:7" ht="15" thickBot="1">
      <c r="A36" s="113" t="s">
        <v>233</v>
      </c>
      <c r="B36" s="112" t="s">
        <v>229</v>
      </c>
      <c r="C36" s="111">
        <v>40</v>
      </c>
      <c r="D36" s="111">
        <v>40</v>
      </c>
      <c r="E36" s="111">
        <v>43</v>
      </c>
      <c r="F36" s="111">
        <v>44</v>
      </c>
      <c r="G36" s="111">
        <v>45</v>
      </c>
    </row>
    <row r="37" spans="1:7" ht="15" thickBot="1">
      <c r="A37" s="397" t="s">
        <v>236</v>
      </c>
      <c r="B37" s="398"/>
      <c r="C37" s="398"/>
      <c r="D37" s="398"/>
      <c r="E37" s="398"/>
      <c r="F37" s="398"/>
      <c r="G37" s="399"/>
    </row>
    <row r="38" spans="1:7" ht="16.2" thickBot="1">
      <c r="A38" s="113" t="s">
        <v>237</v>
      </c>
      <c r="B38" s="109" t="s">
        <v>238</v>
      </c>
      <c r="C38" s="108">
        <v>550</v>
      </c>
      <c r="D38" s="108">
        <v>550</v>
      </c>
      <c r="E38" s="108">
        <v>550</v>
      </c>
      <c r="F38" s="108">
        <v>550</v>
      </c>
      <c r="G38" s="108">
        <v>550</v>
      </c>
    </row>
    <row r="39" spans="1:7" ht="16.2" thickBot="1">
      <c r="A39" s="113" t="s">
        <v>239</v>
      </c>
      <c r="B39" s="115" t="s">
        <v>238</v>
      </c>
      <c r="C39" s="114">
        <v>400</v>
      </c>
      <c r="D39" s="114">
        <v>400</v>
      </c>
      <c r="E39" s="114">
        <v>400</v>
      </c>
      <c r="F39" s="114">
        <v>400</v>
      </c>
      <c r="G39" s="114">
        <v>400</v>
      </c>
    </row>
    <row r="40" spans="1:7" ht="16.2" thickBot="1">
      <c r="A40" s="113" t="s">
        <v>240</v>
      </c>
      <c r="B40" s="112" t="s">
        <v>238</v>
      </c>
      <c r="C40" s="111">
        <v>650</v>
      </c>
      <c r="D40" s="111">
        <v>650</v>
      </c>
      <c r="E40" s="111">
        <v>650</v>
      </c>
      <c r="F40" s="111">
        <v>650</v>
      </c>
      <c r="G40" s="111">
        <v>650</v>
      </c>
    </row>
    <row r="41" spans="1:7" ht="27" thickBot="1">
      <c r="A41" s="113" t="s">
        <v>241</v>
      </c>
      <c r="B41" s="115"/>
      <c r="C41" s="403" t="s">
        <v>242</v>
      </c>
      <c r="D41" s="404"/>
      <c r="E41" s="404"/>
      <c r="F41" s="404"/>
      <c r="G41" s="405"/>
    </row>
    <row r="42" spans="1:7" ht="15" thickBot="1">
      <c r="A42" s="113" t="s">
        <v>243</v>
      </c>
      <c r="B42" s="112" t="s">
        <v>229</v>
      </c>
      <c r="C42" s="111">
        <v>5</v>
      </c>
      <c r="D42" s="111">
        <v>5</v>
      </c>
      <c r="E42" s="111">
        <v>5</v>
      </c>
      <c r="F42" s="111">
        <v>5</v>
      </c>
      <c r="G42" s="111" t="s">
        <v>244</v>
      </c>
    </row>
    <row r="43" spans="1:7" ht="27" thickBot="1">
      <c r="A43" s="113" t="s">
        <v>245</v>
      </c>
      <c r="B43" s="115" t="s">
        <v>246</v>
      </c>
      <c r="C43" s="114">
        <v>3</v>
      </c>
      <c r="D43" s="114">
        <v>3</v>
      </c>
      <c r="E43" s="114">
        <v>3</v>
      </c>
      <c r="F43" s="114">
        <v>3</v>
      </c>
      <c r="G43" s="114">
        <v>3</v>
      </c>
    </row>
    <row r="44" spans="1:7" ht="16.2" thickBot="1">
      <c r="A44" s="113" t="s">
        <v>247</v>
      </c>
      <c r="B44" s="112" t="s">
        <v>248</v>
      </c>
      <c r="C44" s="111">
        <v>11</v>
      </c>
      <c r="D44" s="111">
        <v>11</v>
      </c>
      <c r="E44" s="111">
        <v>11</v>
      </c>
      <c r="F44" s="111">
        <v>11</v>
      </c>
      <c r="G44" s="111">
        <v>11</v>
      </c>
    </row>
    <row r="45" spans="1:7" ht="15" thickBot="1">
      <c r="A45" s="397" t="s">
        <v>251</v>
      </c>
      <c r="B45" s="398"/>
      <c r="C45" s="398"/>
      <c r="D45" s="398"/>
      <c r="E45" s="398"/>
      <c r="F45" s="398"/>
      <c r="G45" s="399"/>
    </row>
    <row r="46" spans="1:7" ht="29.4" thickBot="1">
      <c r="A46" s="113" t="s">
        <v>252</v>
      </c>
      <c r="B46" s="109" t="s">
        <v>253</v>
      </c>
      <c r="C46" s="108">
        <v>575</v>
      </c>
      <c r="D46" s="108">
        <v>575</v>
      </c>
      <c r="E46" s="108">
        <v>535</v>
      </c>
      <c r="F46" s="108">
        <v>525</v>
      </c>
      <c r="G46" s="108">
        <v>510</v>
      </c>
    </row>
    <row r="47" spans="1:7" ht="29.4" thickBot="1">
      <c r="A47" s="113" t="s">
        <v>254</v>
      </c>
      <c r="B47" s="115" t="s">
        <v>253</v>
      </c>
      <c r="C47" s="114">
        <v>110</v>
      </c>
      <c r="D47" s="114">
        <v>110</v>
      </c>
      <c r="E47" s="114">
        <v>100</v>
      </c>
      <c r="F47" s="114">
        <v>100</v>
      </c>
      <c r="G47" s="114">
        <v>100</v>
      </c>
    </row>
    <row r="48" spans="1:7" ht="15" thickBot="1">
      <c r="A48" s="113" t="s">
        <v>255</v>
      </c>
      <c r="B48" s="112" t="s">
        <v>256</v>
      </c>
      <c r="C48" s="111" t="s">
        <v>244</v>
      </c>
      <c r="D48" s="111" t="s">
        <v>244</v>
      </c>
      <c r="E48" s="111" t="s">
        <v>244</v>
      </c>
      <c r="F48" s="111" t="s">
        <v>244</v>
      </c>
      <c r="G48" s="111" t="s">
        <v>244</v>
      </c>
    </row>
    <row r="49" spans="1:7" ht="15" thickBot="1">
      <c r="A49" s="113" t="s">
        <v>257</v>
      </c>
      <c r="B49" s="115" t="s">
        <v>256</v>
      </c>
      <c r="C49" s="114" t="s">
        <v>244</v>
      </c>
      <c r="D49" s="114" t="s">
        <v>244</v>
      </c>
      <c r="E49" s="114" t="s">
        <v>244</v>
      </c>
      <c r="F49" s="114" t="s">
        <v>244</v>
      </c>
      <c r="G49" s="114" t="s">
        <v>244</v>
      </c>
    </row>
    <row r="50" spans="1:7" ht="15" thickBot="1">
      <c r="A50" s="397" t="s">
        <v>258</v>
      </c>
      <c r="B50" s="398"/>
      <c r="C50" s="398"/>
      <c r="D50" s="398"/>
      <c r="E50" s="398"/>
      <c r="F50" s="398"/>
      <c r="G50" s="399"/>
    </row>
    <row r="51" spans="1:7" ht="15" thickBot="1">
      <c r="A51" s="110" t="s">
        <v>262</v>
      </c>
      <c r="B51" s="116" t="s">
        <v>260</v>
      </c>
      <c r="C51" s="172" t="s">
        <v>244</v>
      </c>
      <c r="D51" s="172" t="s">
        <v>244</v>
      </c>
      <c r="E51" s="172" t="s">
        <v>244</v>
      </c>
      <c r="F51" s="172" t="s">
        <v>244</v>
      </c>
      <c r="G51" s="172" t="s">
        <v>244</v>
      </c>
    </row>
    <row r="53" spans="1:7" ht="15" thickBot="1">
      <c r="A53" s="9" t="s">
        <v>283</v>
      </c>
    </row>
    <row r="54" spans="1:7" ht="15" thickBot="1">
      <c r="A54" s="118"/>
      <c r="B54" s="117" t="s">
        <v>46</v>
      </c>
      <c r="C54" s="117">
        <v>2013</v>
      </c>
      <c r="D54" s="117">
        <v>2020</v>
      </c>
      <c r="E54" s="117">
        <v>2030</v>
      </c>
      <c r="F54" s="117">
        <v>2040</v>
      </c>
      <c r="G54" s="117">
        <v>2050</v>
      </c>
    </row>
    <row r="55" spans="1:7" ht="15.6" thickTop="1" thickBot="1">
      <c r="A55" s="400" t="s">
        <v>224</v>
      </c>
      <c r="B55" s="401"/>
      <c r="C55" s="401"/>
      <c r="D55" s="401"/>
      <c r="E55" s="401"/>
      <c r="F55" s="401"/>
      <c r="G55" s="402"/>
    </row>
    <row r="56" spans="1:7" ht="15" thickBot="1">
      <c r="A56" s="113" t="s">
        <v>225</v>
      </c>
      <c r="B56" s="109" t="s">
        <v>189</v>
      </c>
      <c r="C56" s="108">
        <v>580</v>
      </c>
      <c r="D56" s="108">
        <v>580</v>
      </c>
      <c r="E56" s="108">
        <v>580</v>
      </c>
      <c r="F56" s="108">
        <v>580</v>
      </c>
      <c r="G56" s="108">
        <v>580</v>
      </c>
    </row>
    <row r="57" spans="1:7" ht="27" thickBot="1">
      <c r="A57" s="113" t="s">
        <v>226</v>
      </c>
      <c r="B57" s="115" t="s">
        <v>189</v>
      </c>
      <c r="C57" s="114">
        <v>600</v>
      </c>
      <c r="D57" s="114">
        <v>600</v>
      </c>
      <c r="E57" s="114">
        <v>600</v>
      </c>
      <c r="F57" s="114">
        <v>600</v>
      </c>
      <c r="G57" s="114">
        <v>600</v>
      </c>
    </row>
    <row r="58" spans="1:7" ht="15" thickBot="1">
      <c r="A58" s="113" t="s">
        <v>227</v>
      </c>
      <c r="B58" s="112" t="s">
        <v>189</v>
      </c>
      <c r="C58" s="111">
        <v>1000</v>
      </c>
      <c r="D58" s="111">
        <v>965</v>
      </c>
      <c r="E58" s="111">
        <v>935</v>
      </c>
      <c r="F58" s="111">
        <v>935</v>
      </c>
      <c r="G58" s="111">
        <v>920</v>
      </c>
    </row>
    <row r="59" spans="1:7" ht="15" thickBot="1">
      <c r="A59" s="113" t="s">
        <v>228</v>
      </c>
      <c r="B59" s="115" t="s">
        <v>229</v>
      </c>
      <c r="C59" s="114">
        <v>90</v>
      </c>
      <c r="D59" s="114">
        <v>90</v>
      </c>
      <c r="E59" s="114">
        <v>90</v>
      </c>
      <c r="F59" s="114">
        <v>90</v>
      </c>
      <c r="G59" s="114">
        <v>90</v>
      </c>
    </row>
    <row r="60" spans="1:7" ht="15" thickBot="1">
      <c r="A60" s="113" t="s">
        <v>230</v>
      </c>
      <c r="B60" s="112" t="s">
        <v>229</v>
      </c>
      <c r="C60" s="111">
        <v>85</v>
      </c>
      <c r="D60" s="111">
        <v>85</v>
      </c>
      <c r="E60" s="111">
        <v>85</v>
      </c>
      <c r="F60" s="111">
        <v>85</v>
      </c>
      <c r="G60" s="111">
        <v>85</v>
      </c>
    </row>
    <row r="61" spans="1:7" ht="15" thickBot="1">
      <c r="A61" s="113" t="s">
        <v>231</v>
      </c>
      <c r="B61" s="115" t="s">
        <v>232</v>
      </c>
      <c r="C61" s="114">
        <v>30</v>
      </c>
      <c r="D61" s="114">
        <v>30</v>
      </c>
      <c r="E61" s="114">
        <v>30</v>
      </c>
      <c r="F61" s="114">
        <v>30</v>
      </c>
      <c r="G61" s="114">
        <v>30</v>
      </c>
    </row>
    <row r="62" spans="1:7" ht="15" thickBot="1">
      <c r="A62" s="113" t="s">
        <v>233</v>
      </c>
      <c r="B62" s="112" t="s">
        <v>229</v>
      </c>
      <c r="C62" s="111">
        <v>58</v>
      </c>
      <c r="D62" s="111">
        <v>60</v>
      </c>
      <c r="E62" s="111">
        <v>62</v>
      </c>
      <c r="F62" s="111">
        <v>62</v>
      </c>
      <c r="G62" s="111">
        <v>63</v>
      </c>
    </row>
    <row r="63" spans="1:7" ht="15" thickBot="1">
      <c r="A63" s="397" t="s">
        <v>236</v>
      </c>
      <c r="B63" s="398"/>
      <c r="C63" s="398"/>
      <c r="D63" s="398"/>
      <c r="E63" s="398"/>
      <c r="F63" s="398"/>
      <c r="G63" s="399"/>
    </row>
    <row r="64" spans="1:7" ht="16.2" thickBot="1">
      <c r="A64" s="113" t="s">
        <v>237</v>
      </c>
      <c r="B64" s="109" t="s">
        <v>238</v>
      </c>
      <c r="C64" s="108">
        <v>850</v>
      </c>
      <c r="D64" s="108">
        <v>850</v>
      </c>
      <c r="E64" s="108">
        <v>850</v>
      </c>
      <c r="F64" s="108">
        <v>850</v>
      </c>
      <c r="G64" s="108">
        <v>850</v>
      </c>
    </row>
    <row r="65" spans="1:10" ht="16.2" thickBot="1">
      <c r="A65" s="113" t="s">
        <v>239</v>
      </c>
      <c r="B65" s="115" t="s">
        <v>238</v>
      </c>
      <c r="C65" s="114">
        <v>700</v>
      </c>
      <c r="D65" s="114">
        <v>700</v>
      </c>
      <c r="E65" s="114">
        <v>700</v>
      </c>
      <c r="F65" s="114">
        <v>700</v>
      </c>
      <c r="G65" s="114">
        <v>700</v>
      </c>
    </row>
    <row r="66" spans="1:10" ht="16.2" thickBot="1">
      <c r="A66" s="113" t="s">
        <v>240</v>
      </c>
      <c r="B66" s="112" t="s">
        <v>238</v>
      </c>
      <c r="C66" s="111">
        <v>950</v>
      </c>
      <c r="D66" s="111">
        <v>950</v>
      </c>
      <c r="E66" s="111">
        <v>950</v>
      </c>
      <c r="F66" s="111">
        <v>950</v>
      </c>
      <c r="G66" s="111">
        <v>950</v>
      </c>
    </row>
    <row r="67" spans="1:10" ht="27" thickBot="1">
      <c r="A67" s="113" t="s">
        <v>241</v>
      </c>
      <c r="B67" s="115"/>
      <c r="C67" s="403" t="s">
        <v>242</v>
      </c>
      <c r="D67" s="404"/>
      <c r="E67" s="404"/>
      <c r="F67" s="404"/>
      <c r="G67" s="405"/>
    </row>
    <row r="68" spans="1:10" ht="15" thickBot="1">
      <c r="A68" s="113" t="s">
        <v>243</v>
      </c>
      <c r="B68" s="112" t="s">
        <v>229</v>
      </c>
      <c r="C68" s="111">
        <v>5</v>
      </c>
      <c r="D68" s="111">
        <v>5</v>
      </c>
      <c r="E68" s="111">
        <v>5</v>
      </c>
      <c r="F68" s="111">
        <v>5</v>
      </c>
      <c r="G68" s="111" t="s">
        <v>244</v>
      </c>
    </row>
    <row r="69" spans="1:10" ht="27" thickBot="1">
      <c r="A69" s="113" t="s">
        <v>245</v>
      </c>
      <c r="B69" s="115" t="s">
        <v>246</v>
      </c>
      <c r="C69" s="114">
        <v>2.5</v>
      </c>
      <c r="D69" s="114">
        <v>2.5</v>
      </c>
      <c r="E69" s="114">
        <v>2.5</v>
      </c>
      <c r="F69" s="114">
        <v>2.5</v>
      </c>
      <c r="G69" s="114">
        <v>2.5</v>
      </c>
    </row>
    <row r="70" spans="1:10" ht="16.2" thickBot="1">
      <c r="A70" s="113" t="s">
        <v>247</v>
      </c>
      <c r="B70" s="112" t="s">
        <v>248</v>
      </c>
      <c r="C70" s="111">
        <v>2</v>
      </c>
      <c r="D70" s="111">
        <v>2</v>
      </c>
      <c r="E70" s="111">
        <v>2</v>
      </c>
      <c r="F70" s="111">
        <v>2</v>
      </c>
      <c r="G70" s="111">
        <v>2</v>
      </c>
    </row>
    <row r="71" spans="1:10" ht="15" thickBot="1">
      <c r="A71" s="397" t="s">
        <v>251</v>
      </c>
      <c r="B71" s="398"/>
      <c r="C71" s="398"/>
      <c r="D71" s="398"/>
      <c r="E71" s="398"/>
      <c r="F71" s="398"/>
      <c r="G71" s="399"/>
    </row>
    <row r="72" spans="1:10" ht="29.4" thickBot="1">
      <c r="A72" s="113" t="s">
        <v>252</v>
      </c>
      <c r="B72" s="109" t="s">
        <v>253</v>
      </c>
      <c r="C72" s="108">
        <v>370</v>
      </c>
      <c r="D72" s="108">
        <v>360</v>
      </c>
      <c r="E72" s="108">
        <v>350</v>
      </c>
      <c r="F72" s="108">
        <v>350</v>
      </c>
      <c r="G72" s="108">
        <v>340</v>
      </c>
    </row>
    <row r="73" spans="1:10" ht="29.4" thickBot="1">
      <c r="A73" s="113" t="s">
        <v>254</v>
      </c>
      <c r="B73" s="115" t="s">
        <v>253</v>
      </c>
      <c r="C73" s="114">
        <v>70</v>
      </c>
      <c r="D73" s="114">
        <v>68</v>
      </c>
      <c r="E73" s="114">
        <v>65</v>
      </c>
      <c r="F73" s="114">
        <v>65</v>
      </c>
      <c r="G73" s="114">
        <v>64</v>
      </c>
    </row>
    <row r="74" spans="1:10" ht="15" thickBot="1">
      <c r="A74" s="113" t="s">
        <v>255</v>
      </c>
      <c r="B74" s="112" t="s">
        <v>256</v>
      </c>
      <c r="C74" s="111">
        <v>750</v>
      </c>
      <c r="D74" s="111">
        <v>725</v>
      </c>
      <c r="E74" s="111">
        <v>700</v>
      </c>
      <c r="F74" s="111">
        <v>700</v>
      </c>
      <c r="G74" s="111">
        <v>690</v>
      </c>
    </row>
    <row r="75" spans="1:10" ht="15" thickBot="1">
      <c r="A75" s="113" t="s">
        <v>257</v>
      </c>
      <c r="B75" s="115" t="s">
        <v>256</v>
      </c>
      <c r="C75" s="114">
        <v>980</v>
      </c>
      <c r="D75" s="114">
        <v>945</v>
      </c>
      <c r="E75" s="114">
        <v>915</v>
      </c>
      <c r="F75" s="114">
        <v>915</v>
      </c>
      <c r="G75" s="114">
        <v>900</v>
      </c>
    </row>
    <row r="76" spans="1:10" ht="15" thickBot="1">
      <c r="A76" s="397" t="s">
        <v>258</v>
      </c>
      <c r="B76" s="398"/>
      <c r="C76" s="398"/>
      <c r="D76" s="398"/>
      <c r="E76" s="398"/>
      <c r="F76" s="398"/>
      <c r="G76" s="399"/>
    </row>
    <row r="77" spans="1:10" ht="15" thickBot="1">
      <c r="A77" s="110" t="s">
        <v>262</v>
      </c>
      <c r="B77" s="116" t="s">
        <v>260</v>
      </c>
      <c r="C77" s="172" t="s">
        <v>244</v>
      </c>
      <c r="D77" s="172" t="s">
        <v>244</v>
      </c>
      <c r="E77" s="172" t="s">
        <v>244</v>
      </c>
      <c r="F77" s="172" t="s">
        <v>244</v>
      </c>
      <c r="G77" s="172" t="s">
        <v>244</v>
      </c>
    </row>
    <row r="79" spans="1:10" ht="15" thickBot="1">
      <c r="A79" s="107" t="s">
        <v>282</v>
      </c>
    </row>
    <row r="80" spans="1:10" ht="15" thickBot="1">
      <c r="A80" s="118"/>
      <c r="B80" s="117" t="s">
        <v>46</v>
      </c>
      <c r="C80" s="117">
        <v>2013</v>
      </c>
      <c r="D80" s="117">
        <v>2020</v>
      </c>
      <c r="E80" s="117">
        <v>2030</v>
      </c>
      <c r="F80" s="117">
        <v>2040</v>
      </c>
      <c r="G80" s="117">
        <v>2050</v>
      </c>
      <c r="J80" s="9" t="s">
        <v>275</v>
      </c>
    </row>
    <row r="81" spans="1:11" ht="15.6" thickTop="1" thickBot="1">
      <c r="A81" s="400" t="s">
        <v>224</v>
      </c>
      <c r="B81" s="401"/>
      <c r="C81" s="401"/>
      <c r="D81" s="401"/>
      <c r="E81" s="401"/>
      <c r="F81" s="401"/>
      <c r="G81" s="402"/>
      <c r="J81" s="91" t="s">
        <v>274</v>
      </c>
      <c r="K81" s="119">
        <v>0.11</v>
      </c>
    </row>
    <row r="82" spans="1:11" ht="15" thickBot="1">
      <c r="A82" s="113" t="s">
        <v>225</v>
      </c>
      <c r="B82" s="109" t="s">
        <v>189</v>
      </c>
      <c r="C82" s="108">
        <v>750</v>
      </c>
      <c r="D82" s="108">
        <v>750</v>
      </c>
      <c r="E82" s="108">
        <v>750</v>
      </c>
      <c r="F82" s="108">
        <v>750</v>
      </c>
      <c r="G82" s="108">
        <v>750</v>
      </c>
      <c r="J82" s="91" t="s">
        <v>273</v>
      </c>
      <c r="K82" s="119">
        <v>0.4</v>
      </c>
    </row>
    <row r="83" spans="1:11" ht="27" thickBot="1">
      <c r="A83" s="113" t="s">
        <v>226</v>
      </c>
      <c r="B83" s="115" t="s">
        <v>189</v>
      </c>
      <c r="C83" s="114">
        <v>790</v>
      </c>
      <c r="D83" s="114">
        <v>790</v>
      </c>
      <c r="E83" s="114">
        <v>790</v>
      </c>
      <c r="F83" s="114">
        <v>790</v>
      </c>
      <c r="G83" s="114">
        <v>790</v>
      </c>
      <c r="J83" s="91" t="s">
        <v>272</v>
      </c>
      <c r="K83" s="119">
        <v>0.06</v>
      </c>
    </row>
    <row r="84" spans="1:11" ht="15" thickBot="1">
      <c r="A84" s="113" t="s">
        <v>227</v>
      </c>
      <c r="B84" s="112" t="s">
        <v>189</v>
      </c>
      <c r="C84" s="111">
        <v>1670</v>
      </c>
      <c r="D84" s="111">
        <v>1630</v>
      </c>
      <c r="E84" s="111">
        <v>1560</v>
      </c>
      <c r="F84" s="111">
        <v>1560</v>
      </c>
      <c r="G84" s="111">
        <v>1560</v>
      </c>
      <c r="J84" s="91" t="s">
        <v>271</v>
      </c>
      <c r="K84" s="119">
        <v>0.26</v>
      </c>
    </row>
    <row r="85" spans="1:11" ht="15" thickBot="1">
      <c r="A85" s="113" t="s">
        <v>228</v>
      </c>
      <c r="B85" s="115" t="s">
        <v>229</v>
      </c>
      <c r="C85" s="114">
        <v>90</v>
      </c>
      <c r="D85" s="114">
        <v>90</v>
      </c>
      <c r="E85" s="114">
        <v>90</v>
      </c>
      <c r="F85" s="114">
        <v>90</v>
      </c>
      <c r="G85" s="114">
        <v>90</v>
      </c>
      <c r="J85" s="91" t="s">
        <v>270</v>
      </c>
      <c r="K85" s="119">
        <v>0.17</v>
      </c>
    </row>
    <row r="86" spans="1:11" ht="15" thickBot="1">
      <c r="A86" s="113" t="s">
        <v>230</v>
      </c>
      <c r="B86" s="112" t="s">
        <v>229</v>
      </c>
      <c r="C86" s="111">
        <v>85</v>
      </c>
      <c r="D86" s="111">
        <v>85</v>
      </c>
      <c r="E86" s="111">
        <v>85</v>
      </c>
      <c r="F86" s="111">
        <v>85</v>
      </c>
      <c r="G86" s="111">
        <v>85</v>
      </c>
    </row>
    <row r="87" spans="1:11" ht="15" thickBot="1">
      <c r="A87" s="113" t="s">
        <v>231</v>
      </c>
      <c r="B87" s="115" t="s">
        <v>232</v>
      </c>
      <c r="C87" s="114">
        <v>40</v>
      </c>
      <c r="D87" s="114">
        <v>40</v>
      </c>
      <c r="E87" s="114">
        <v>40</v>
      </c>
      <c r="F87" s="114">
        <v>40</v>
      </c>
      <c r="G87" s="114">
        <v>40</v>
      </c>
    </row>
    <row r="88" spans="1:11" ht="15" thickBot="1">
      <c r="A88" s="113" t="s">
        <v>281</v>
      </c>
      <c r="B88" s="112" t="s">
        <v>229</v>
      </c>
      <c r="C88" s="111">
        <v>45</v>
      </c>
      <c r="D88" s="111">
        <v>46</v>
      </c>
      <c r="E88" s="111">
        <v>48</v>
      </c>
      <c r="F88" s="111">
        <v>48</v>
      </c>
      <c r="G88" s="111">
        <v>48</v>
      </c>
    </row>
    <row r="89" spans="1:11" ht="15" thickBot="1">
      <c r="A89" s="397" t="s">
        <v>236</v>
      </c>
      <c r="B89" s="398"/>
      <c r="C89" s="398"/>
      <c r="D89" s="398"/>
      <c r="E89" s="398"/>
      <c r="F89" s="398"/>
      <c r="G89" s="399"/>
    </row>
    <row r="90" spans="1:11" ht="16.2" thickBot="1">
      <c r="A90" s="113" t="s">
        <v>237</v>
      </c>
      <c r="B90" s="109" t="s">
        <v>238</v>
      </c>
      <c r="C90" s="108">
        <v>1600</v>
      </c>
      <c r="D90" s="108">
        <v>1600</v>
      </c>
      <c r="E90" s="108">
        <v>1600</v>
      </c>
      <c r="F90" s="108">
        <v>1600</v>
      </c>
      <c r="G90" s="108">
        <v>1600</v>
      </c>
    </row>
    <row r="91" spans="1:11" ht="16.2" thickBot="1">
      <c r="A91" s="113" t="s">
        <v>239</v>
      </c>
      <c r="B91" s="115" t="s">
        <v>238</v>
      </c>
      <c r="C91" s="114">
        <v>1550</v>
      </c>
      <c r="D91" s="114">
        <v>1550</v>
      </c>
      <c r="E91" s="114">
        <v>1550</v>
      </c>
      <c r="F91" s="114">
        <v>1550</v>
      </c>
      <c r="G91" s="114">
        <v>1550</v>
      </c>
    </row>
    <row r="92" spans="1:11" ht="16.2" thickBot="1">
      <c r="A92" s="113" t="s">
        <v>240</v>
      </c>
      <c r="B92" s="112" t="s">
        <v>238</v>
      </c>
      <c r="C92" s="111">
        <v>1700</v>
      </c>
      <c r="D92" s="111">
        <v>1700</v>
      </c>
      <c r="E92" s="111">
        <v>1700</v>
      </c>
      <c r="F92" s="111">
        <v>1700</v>
      </c>
      <c r="G92" s="111">
        <v>1700</v>
      </c>
    </row>
    <row r="93" spans="1:11" ht="27" thickBot="1">
      <c r="A93" s="113" t="s">
        <v>241</v>
      </c>
      <c r="B93" s="115"/>
      <c r="C93" s="403" t="s">
        <v>242</v>
      </c>
      <c r="D93" s="404"/>
      <c r="E93" s="404"/>
      <c r="F93" s="404"/>
      <c r="G93" s="405"/>
    </row>
    <row r="94" spans="1:11" ht="15" thickBot="1">
      <c r="A94" s="113" t="s">
        <v>243</v>
      </c>
      <c r="B94" s="112" t="s">
        <v>229</v>
      </c>
      <c r="C94" s="111">
        <v>1</v>
      </c>
      <c r="D94" s="111">
        <v>1</v>
      </c>
      <c r="E94" s="111">
        <v>1</v>
      </c>
      <c r="F94" s="111">
        <v>1</v>
      </c>
      <c r="G94" s="111" t="s">
        <v>244</v>
      </c>
    </row>
    <row r="95" spans="1:11" ht="27" thickBot="1">
      <c r="A95" s="113" t="s">
        <v>245</v>
      </c>
      <c r="B95" s="115" t="s">
        <v>246</v>
      </c>
      <c r="C95" s="114">
        <v>2.5</v>
      </c>
      <c r="D95" s="114">
        <v>2.5</v>
      </c>
      <c r="E95" s="114">
        <v>2.5</v>
      </c>
      <c r="F95" s="114">
        <v>2.5</v>
      </c>
      <c r="G95" s="114">
        <v>2.5</v>
      </c>
    </row>
    <row r="96" spans="1:11" ht="15" thickBot="1">
      <c r="A96" s="113" t="s">
        <v>279</v>
      </c>
      <c r="B96" s="112" t="s">
        <v>229</v>
      </c>
      <c r="C96" s="111">
        <v>2</v>
      </c>
      <c r="D96" s="111" t="s">
        <v>244</v>
      </c>
      <c r="E96" s="111" t="s">
        <v>244</v>
      </c>
      <c r="F96" s="111" t="s">
        <v>244</v>
      </c>
      <c r="G96" s="111" t="s">
        <v>244</v>
      </c>
    </row>
    <row r="97" spans="1:7" ht="16.2" thickBot="1">
      <c r="A97" s="113" t="s">
        <v>247</v>
      </c>
      <c r="B97" s="115" t="s">
        <v>248</v>
      </c>
      <c r="C97" s="114">
        <v>3.6</v>
      </c>
      <c r="D97" s="114">
        <v>3.6</v>
      </c>
      <c r="E97" s="114">
        <v>3.6</v>
      </c>
      <c r="F97" s="114">
        <v>3.6</v>
      </c>
      <c r="G97" s="114">
        <v>3.6</v>
      </c>
    </row>
    <row r="98" spans="1:7" ht="15" thickBot="1">
      <c r="A98" s="113" t="s">
        <v>250</v>
      </c>
      <c r="B98" s="112">
        <v>1</v>
      </c>
      <c r="C98" s="111">
        <v>135</v>
      </c>
      <c r="D98" s="111">
        <v>135</v>
      </c>
      <c r="E98" s="111">
        <v>135</v>
      </c>
      <c r="F98" s="111">
        <v>135</v>
      </c>
      <c r="G98" s="111">
        <v>135</v>
      </c>
    </row>
    <row r="99" spans="1:7" ht="15" thickBot="1">
      <c r="A99" s="397" t="s">
        <v>251</v>
      </c>
      <c r="B99" s="398"/>
      <c r="C99" s="398"/>
      <c r="D99" s="398"/>
      <c r="E99" s="398"/>
      <c r="F99" s="398"/>
      <c r="G99" s="399"/>
    </row>
    <row r="100" spans="1:7" ht="29.4" thickBot="1">
      <c r="A100" s="113" t="s">
        <v>252</v>
      </c>
      <c r="B100" s="109" t="s">
        <v>253</v>
      </c>
      <c r="C100" s="108">
        <v>890</v>
      </c>
      <c r="D100" s="108">
        <v>880</v>
      </c>
      <c r="E100" s="108">
        <v>840</v>
      </c>
      <c r="F100" s="108">
        <v>840</v>
      </c>
      <c r="G100" s="108">
        <v>840</v>
      </c>
    </row>
    <row r="101" spans="1:7" ht="29.4" thickBot="1">
      <c r="A101" s="113" t="s">
        <v>254</v>
      </c>
      <c r="B101" s="115" t="s">
        <v>253</v>
      </c>
      <c r="C101" s="114">
        <v>95</v>
      </c>
      <c r="D101" s="114">
        <v>93</v>
      </c>
      <c r="E101" s="114">
        <v>89</v>
      </c>
      <c r="F101" s="114">
        <v>89</v>
      </c>
      <c r="G101" s="114">
        <v>89</v>
      </c>
    </row>
    <row r="102" spans="1:7" ht="15" thickBot="1">
      <c r="A102" s="113" t="s">
        <v>255</v>
      </c>
      <c r="B102" s="112" t="s">
        <v>256</v>
      </c>
      <c r="C102" s="111">
        <v>1760</v>
      </c>
      <c r="D102" s="111">
        <v>1720</v>
      </c>
      <c r="E102" s="111">
        <v>1650</v>
      </c>
      <c r="F102" s="111">
        <v>1650</v>
      </c>
      <c r="G102" s="111">
        <v>1650</v>
      </c>
    </row>
    <row r="103" spans="1:7" ht="15" thickBot="1">
      <c r="A103" s="113" t="s">
        <v>257</v>
      </c>
      <c r="B103" s="115" t="s">
        <v>256</v>
      </c>
      <c r="C103" s="114">
        <v>2210</v>
      </c>
      <c r="D103" s="114">
        <v>2160</v>
      </c>
      <c r="E103" s="114">
        <v>2070</v>
      </c>
      <c r="F103" s="114">
        <v>2070</v>
      </c>
      <c r="G103" s="114">
        <v>2070</v>
      </c>
    </row>
    <row r="104" spans="1:7" ht="15" thickBot="1">
      <c r="A104" s="397" t="s">
        <v>258</v>
      </c>
      <c r="B104" s="398"/>
      <c r="C104" s="398"/>
      <c r="D104" s="398"/>
      <c r="E104" s="398"/>
      <c r="F104" s="398"/>
      <c r="G104" s="399"/>
    </row>
    <row r="105" spans="1:7" ht="15" thickBot="1">
      <c r="A105" s="110" t="s">
        <v>262</v>
      </c>
      <c r="B105" s="116" t="s">
        <v>260</v>
      </c>
      <c r="C105" s="172" t="s">
        <v>244</v>
      </c>
      <c r="D105" s="172" t="s">
        <v>244</v>
      </c>
      <c r="E105" s="172" t="s">
        <v>244</v>
      </c>
      <c r="F105" s="172" t="s">
        <v>244</v>
      </c>
      <c r="G105" s="172" t="s">
        <v>244</v>
      </c>
    </row>
    <row r="107" spans="1:7" ht="15" thickBot="1">
      <c r="A107" s="9" t="s">
        <v>280</v>
      </c>
    </row>
    <row r="108" spans="1:7" ht="15" thickBot="1">
      <c r="A108" s="118"/>
      <c r="B108" s="117" t="s">
        <v>46</v>
      </c>
      <c r="C108" s="117">
        <v>2013</v>
      </c>
      <c r="D108" s="117">
        <v>2020</v>
      </c>
      <c r="E108" s="117">
        <v>2030</v>
      </c>
      <c r="F108" s="117">
        <v>2040</v>
      </c>
      <c r="G108" s="117">
        <v>2050</v>
      </c>
    </row>
    <row r="109" spans="1:7" ht="15.6" thickTop="1" thickBot="1">
      <c r="A109" s="400" t="s">
        <v>224</v>
      </c>
      <c r="B109" s="401"/>
      <c r="C109" s="401"/>
      <c r="D109" s="401"/>
      <c r="E109" s="401"/>
      <c r="F109" s="401"/>
      <c r="G109" s="402"/>
    </row>
    <row r="110" spans="1:7" ht="15" thickBot="1">
      <c r="A110" s="113" t="s">
        <v>225</v>
      </c>
      <c r="B110" s="109" t="s">
        <v>189</v>
      </c>
      <c r="C110" s="108">
        <v>750</v>
      </c>
      <c r="D110" s="108">
        <v>750</v>
      </c>
      <c r="E110" s="108">
        <v>750</v>
      </c>
      <c r="F110" s="108">
        <v>750</v>
      </c>
      <c r="G110" s="108">
        <v>750</v>
      </c>
    </row>
    <row r="111" spans="1:7" ht="27" thickBot="1">
      <c r="A111" s="113" t="s">
        <v>226</v>
      </c>
      <c r="B111" s="115" t="s">
        <v>189</v>
      </c>
      <c r="C111" s="114">
        <v>795</v>
      </c>
      <c r="D111" s="114">
        <v>795</v>
      </c>
      <c r="E111" s="114">
        <v>795</v>
      </c>
      <c r="F111" s="114">
        <v>795</v>
      </c>
      <c r="G111" s="114">
        <v>795</v>
      </c>
    </row>
    <row r="112" spans="1:7" ht="15" thickBot="1">
      <c r="A112" s="113" t="s">
        <v>227</v>
      </c>
      <c r="B112" s="112" t="s">
        <v>189</v>
      </c>
      <c r="C112" s="111">
        <v>1790</v>
      </c>
      <c r="D112" s="111">
        <v>1670</v>
      </c>
      <c r="E112" s="111">
        <v>1600</v>
      </c>
      <c r="F112" s="111">
        <v>1600</v>
      </c>
      <c r="G112" s="111">
        <v>1600</v>
      </c>
    </row>
    <row r="113" spans="1:7" ht="15" thickBot="1">
      <c r="A113" s="113" t="s">
        <v>228</v>
      </c>
      <c r="B113" s="115" t="s">
        <v>229</v>
      </c>
      <c r="C113" s="114">
        <v>90</v>
      </c>
      <c r="D113" s="114">
        <v>90</v>
      </c>
      <c r="E113" s="114">
        <v>90</v>
      </c>
      <c r="F113" s="114">
        <v>90</v>
      </c>
      <c r="G113" s="114">
        <v>90</v>
      </c>
    </row>
    <row r="114" spans="1:7" ht="15" thickBot="1">
      <c r="A114" s="113" t="s">
        <v>230</v>
      </c>
      <c r="B114" s="112" t="s">
        <v>229</v>
      </c>
      <c r="C114" s="111">
        <v>85</v>
      </c>
      <c r="D114" s="111">
        <v>85</v>
      </c>
      <c r="E114" s="111">
        <v>85</v>
      </c>
      <c r="F114" s="111">
        <v>85</v>
      </c>
      <c r="G114" s="111">
        <v>85</v>
      </c>
    </row>
    <row r="115" spans="1:7" ht="15" thickBot="1">
      <c r="A115" s="113" t="s">
        <v>231</v>
      </c>
      <c r="B115" s="115" t="s">
        <v>232</v>
      </c>
      <c r="C115" s="114">
        <v>40</v>
      </c>
      <c r="D115" s="114">
        <v>40</v>
      </c>
      <c r="E115" s="114">
        <v>40</v>
      </c>
      <c r="F115" s="114">
        <v>40</v>
      </c>
      <c r="G115" s="114">
        <v>40</v>
      </c>
    </row>
    <row r="116" spans="1:7" ht="15" thickBot="1">
      <c r="A116" s="113" t="s">
        <v>233</v>
      </c>
      <c r="B116" s="112" t="s">
        <v>229</v>
      </c>
      <c r="C116" s="111">
        <v>42</v>
      </c>
      <c r="D116" s="111">
        <v>45</v>
      </c>
      <c r="E116" s="111">
        <v>47</v>
      </c>
      <c r="F116" s="111">
        <v>47</v>
      </c>
      <c r="G116" s="111">
        <v>47</v>
      </c>
    </row>
    <row r="117" spans="1:7" ht="15" thickBot="1">
      <c r="A117" s="397" t="s">
        <v>236</v>
      </c>
      <c r="B117" s="398"/>
      <c r="C117" s="398"/>
      <c r="D117" s="398"/>
      <c r="E117" s="398"/>
      <c r="F117" s="398"/>
      <c r="G117" s="399"/>
    </row>
    <row r="118" spans="1:7" ht="16.2" thickBot="1">
      <c r="A118" s="113" t="s">
        <v>237</v>
      </c>
      <c r="B118" s="109" t="s">
        <v>238</v>
      </c>
      <c r="C118" s="108">
        <v>2000</v>
      </c>
      <c r="D118" s="108">
        <v>2000</v>
      </c>
      <c r="E118" s="108">
        <v>2000</v>
      </c>
      <c r="F118" s="108">
        <v>2000</v>
      </c>
      <c r="G118" s="108">
        <v>2000</v>
      </c>
    </row>
    <row r="119" spans="1:7" ht="16.2" thickBot="1">
      <c r="A119" s="113" t="s">
        <v>239</v>
      </c>
      <c r="B119" s="115" t="s">
        <v>238</v>
      </c>
      <c r="C119" s="114">
        <v>1700</v>
      </c>
      <c r="D119" s="114">
        <v>1700</v>
      </c>
      <c r="E119" s="114">
        <v>1700</v>
      </c>
      <c r="F119" s="114">
        <v>1700</v>
      </c>
      <c r="G119" s="114">
        <v>1700</v>
      </c>
    </row>
    <row r="120" spans="1:7" ht="16.2" thickBot="1">
      <c r="A120" s="113" t="s">
        <v>240</v>
      </c>
      <c r="B120" s="112" t="s">
        <v>238</v>
      </c>
      <c r="C120" s="111">
        <v>2400</v>
      </c>
      <c r="D120" s="111">
        <v>2400</v>
      </c>
      <c r="E120" s="111">
        <v>2400</v>
      </c>
      <c r="F120" s="111">
        <v>2400</v>
      </c>
      <c r="G120" s="111">
        <v>2400</v>
      </c>
    </row>
    <row r="121" spans="1:7" ht="27" thickBot="1">
      <c r="A121" s="113" t="s">
        <v>241</v>
      </c>
      <c r="B121" s="115"/>
      <c r="C121" s="403" t="s">
        <v>242</v>
      </c>
      <c r="D121" s="404"/>
      <c r="E121" s="404"/>
      <c r="F121" s="404"/>
      <c r="G121" s="405"/>
    </row>
    <row r="122" spans="1:7" ht="15" thickBot="1">
      <c r="A122" s="113" t="s">
        <v>243</v>
      </c>
      <c r="B122" s="112" t="s">
        <v>229</v>
      </c>
      <c r="C122" s="111">
        <v>1</v>
      </c>
      <c r="D122" s="111">
        <v>1</v>
      </c>
      <c r="E122" s="111">
        <v>1</v>
      </c>
      <c r="F122" s="111">
        <v>1</v>
      </c>
      <c r="G122" s="111" t="s">
        <v>244</v>
      </c>
    </row>
    <row r="123" spans="1:7" ht="27" thickBot="1">
      <c r="A123" s="113" t="s">
        <v>245</v>
      </c>
      <c r="B123" s="115" t="s">
        <v>246</v>
      </c>
      <c r="C123" s="114">
        <v>2.5</v>
      </c>
      <c r="D123" s="114">
        <v>2.5</v>
      </c>
      <c r="E123" s="114">
        <v>2.5</v>
      </c>
      <c r="F123" s="114">
        <v>2.5</v>
      </c>
      <c r="G123" s="114">
        <v>2.5</v>
      </c>
    </row>
    <row r="124" spans="1:7" ht="15" thickBot="1">
      <c r="A124" s="113" t="s">
        <v>279</v>
      </c>
      <c r="B124" s="112" t="s">
        <v>229</v>
      </c>
      <c r="C124" s="111">
        <v>2</v>
      </c>
      <c r="D124" s="111" t="s">
        <v>244</v>
      </c>
      <c r="E124" s="111" t="s">
        <v>244</v>
      </c>
      <c r="F124" s="111" t="s">
        <v>244</v>
      </c>
      <c r="G124" s="111" t="s">
        <v>244</v>
      </c>
    </row>
    <row r="125" spans="1:7" ht="16.2" thickBot="1">
      <c r="A125" s="113" t="s">
        <v>247</v>
      </c>
      <c r="B125" s="115" t="s">
        <v>248</v>
      </c>
      <c r="C125" s="114">
        <v>4.5</v>
      </c>
      <c r="D125" s="114">
        <v>4.5</v>
      </c>
      <c r="E125" s="114">
        <v>4.5</v>
      </c>
      <c r="F125" s="114">
        <v>4.5</v>
      </c>
      <c r="G125" s="114">
        <v>4.5</v>
      </c>
    </row>
    <row r="126" spans="1:7" ht="15" thickBot="1">
      <c r="A126" s="113" t="s">
        <v>278</v>
      </c>
      <c r="B126" s="112">
        <v>1</v>
      </c>
      <c r="C126" s="111">
        <v>135</v>
      </c>
      <c r="D126" s="111">
        <v>135</v>
      </c>
      <c r="E126" s="111">
        <v>135</v>
      </c>
      <c r="F126" s="111">
        <v>135</v>
      </c>
      <c r="G126" s="111">
        <v>135</v>
      </c>
    </row>
    <row r="127" spans="1:7" ht="15" thickBot="1">
      <c r="A127" s="397" t="s">
        <v>251</v>
      </c>
      <c r="B127" s="398"/>
      <c r="C127" s="398"/>
      <c r="D127" s="398"/>
      <c r="E127" s="398"/>
      <c r="F127" s="398"/>
      <c r="G127" s="399"/>
    </row>
    <row r="128" spans="1:7" ht="29.4" thickBot="1">
      <c r="A128" s="113" t="s">
        <v>252</v>
      </c>
      <c r="B128" s="109" t="s">
        <v>253</v>
      </c>
      <c r="C128" s="108">
        <v>1010</v>
      </c>
      <c r="D128" s="108">
        <v>950</v>
      </c>
      <c r="E128" s="108">
        <v>910</v>
      </c>
      <c r="F128" s="108">
        <v>910</v>
      </c>
      <c r="G128" s="108">
        <v>910</v>
      </c>
    </row>
    <row r="129" spans="1:7" ht="29.4" thickBot="1">
      <c r="A129" s="113" t="s">
        <v>254</v>
      </c>
      <c r="B129" s="115" t="s">
        <v>253</v>
      </c>
      <c r="C129" s="114">
        <v>110</v>
      </c>
      <c r="D129" s="114">
        <v>100</v>
      </c>
      <c r="E129" s="114">
        <v>96</v>
      </c>
      <c r="F129" s="114">
        <v>96</v>
      </c>
      <c r="G129" s="114">
        <v>96</v>
      </c>
    </row>
    <row r="130" spans="1:7" ht="15" thickBot="1">
      <c r="A130" s="113" t="s">
        <v>255</v>
      </c>
      <c r="B130" s="112" t="s">
        <v>256</v>
      </c>
      <c r="C130" s="111">
        <v>1750</v>
      </c>
      <c r="D130" s="111">
        <v>1630</v>
      </c>
      <c r="E130" s="111">
        <v>1570</v>
      </c>
      <c r="F130" s="111">
        <v>1570</v>
      </c>
      <c r="G130" s="111">
        <v>1570</v>
      </c>
    </row>
    <row r="131" spans="1:7" ht="15" thickBot="1">
      <c r="A131" s="113" t="s">
        <v>257</v>
      </c>
      <c r="B131" s="115" t="s">
        <v>256</v>
      </c>
      <c r="C131" s="114">
        <v>2210</v>
      </c>
      <c r="D131" s="114">
        <v>2060</v>
      </c>
      <c r="E131" s="114">
        <v>1970</v>
      </c>
      <c r="F131" s="114">
        <v>1970</v>
      </c>
      <c r="G131" s="114">
        <v>1970</v>
      </c>
    </row>
    <row r="132" spans="1:7" ht="15" thickBot="1">
      <c r="A132" s="397" t="s">
        <v>258</v>
      </c>
      <c r="B132" s="398"/>
      <c r="C132" s="398"/>
      <c r="D132" s="398"/>
      <c r="E132" s="398"/>
      <c r="F132" s="398"/>
      <c r="G132" s="399"/>
    </row>
    <row r="133" spans="1:7" ht="15" thickBot="1">
      <c r="A133" s="110" t="s">
        <v>262</v>
      </c>
      <c r="B133" s="116" t="s">
        <v>260</v>
      </c>
      <c r="C133" s="172" t="s">
        <v>244</v>
      </c>
      <c r="D133" s="172" t="s">
        <v>244</v>
      </c>
      <c r="E133" s="172" t="s">
        <v>244</v>
      </c>
      <c r="F133" s="172" t="s">
        <v>244</v>
      </c>
      <c r="G133" s="172" t="s">
        <v>244</v>
      </c>
    </row>
    <row r="135" spans="1:7" ht="15" thickBot="1">
      <c r="A135" s="107" t="s">
        <v>277</v>
      </c>
    </row>
    <row r="136" spans="1:7" ht="15" thickBot="1">
      <c r="A136" s="118"/>
      <c r="B136" s="117" t="s">
        <v>46</v>
      </c>
      <c r="C136" s="117">
        <v>2013</v>
      </c>
      <c r="D136" s="117">
        <v>2020</v>
      </c>
      <c r="E136" s="117">
        <v>2030</v>
      </c>
      <c r="F136" s="117">
        <v>2040</v>
      </c>
      <c r="G136" s="117">
        <v>2050</v>
      </c>
    </row>
    <row r="137" spans="1:7" ht="15.6" thickTop="1" thickBot="1">
      <c r="A137" s="400" t="s">
        <v>224</v>
      </c>
      <c r="B137" s="401"/>
      <c r="C137" s="401"/>
      <c r="D137" s="401"/>
      <c r="E137" s="401"/>
      <c r="F137" s="401"/>
      <c r="G137" s="402"/>
    </row>
    <row r="138" spans="1:7" ht="15" thickBot="1">
      <c r="A138" s="113" t="s">
        <v>225</v>
      </c>
      <c r="B138" s="109" t="s">
        <v>189</v>
      </c>
      <c r="C138" s="108">
        <v>550</v>
      </c>
      <c r="D138" s="108">
        <v>550</v>
      </c>
      <c r="E138" s="108">
        <v>550</v>
      </c>
      <c r="F138" s="108">
        <v>550</v>
      </c>
      <c r="G138" s="108">
        <v>550</v>
      </c>
    </row>
    <row r="139" spans="1:7" ht="27" thickBot="1">
      <c r="A139" s="113" t="s">
        <v>226</v>
      </c>
      <c r="B139" s="115" t="s">
        <v>189</v>
      </c>
      <c r="C139" s="114">
        <v>580</v>
      </c>
      <c r="D139" s="114">
        <v>580</v>
      </c>
      <c r="E139" s="114">
        <v>580</v>
      </c>
      <c r="F139" s="114">
        <v>580</v>
      </c>
      <c r="G139" s="114">
        <v>580</v>
      </c>
    </row>
    <row r="140" spans="1:7" ht="15" thickBot="1">
      <c r="A140" s="113" t="s">
        <v>227</v>
      </c>
      <c r="B140" s="112" t="s">
        <v>189</v>
      </c>
      <c r="C140" s="111">
        <v>1310</v>
      </c>
      <c r="D140" s="111">
        <v>1280</v>
      </c>
      <c r="E140" s="111">
        <v>1230</v>
      </c>
      <c r="F140" s="111">
        <v>1230</v>
      </c>
      <c r="G140" s="111">
        <v>1230</v>
      </c>
    </row>
    <row r="141" spans="1:7" ht="15" thickBot="1">
      <c r="A141" s="113" t="s">
        <v>228</v>
      </c>
      <c r="B141" s="115" t="s">
        <v>229</v>
      </c>
      <c r="C141" s="114">
        <v>85</v>
      </c>
      <c r="D141" s="114">
        <v>85</v>
      </c>
      <c r="E141" s="114">
        <v>85</v>
      </c>
      <c r="F141" s="114">
        <v>85</v>
      </c>
      <c r="G141" s="114">
        <v>85</v>
      </c>
    </row>
    <row r="142" spans="1:7" ht="15" thickBot="1">
      <c r="A142" s="113" t="s">
        <v>230</v>
      </c>
      <c r="B142" s="112" t="s">
        <v>229</v>
      </c>
      <c r="C142" s="111">
        <v>85</v>
      </c>
      <c r="D142" s="111">
        <v>85</v>
      </c>
      <c r="E142" s="111">
        <v>85</v>
      </c>
      <c r="F142" s="111">
        <v>85</v>
      </c>
      <c r="G142" s="111">
        <v>85</v>
      </c>
    </row>
    <row r="143" spans="1:7" ht="15" thickBot="1">
      <c r="A143" s="113" t="s">
        <v>231</v>
      </c>
      <c r="B143" s="115" t="s">
        <v>232</v>
      </c>
      <c r="C143" s="114">
        <v>40</v>
      </c>
      <c r="D143" s="114">
        <v>40</v>
      </c>
      <c r="E143" s="114">
        <v>40</v>
      </c>
      <c r="F143" s="114">
        <v>40</v>
      </c>
      <c r="G143" s="114">
        <v>40</v>
      </c>
    </row>
    <row r="144" spans="1:7" ht="15" thickBot="1">
      <c r="A144" s="113" t="s">
        <v>233</v>
      </c>
      <c r="B144" s="112" t="s">
        <v>229</v>
      </c>
      <c r="C144" s="111">
        <v>42</v>
      </c>
      <c r="D144" s="111">
        <v>43</v>
      </c>
      <c r="E144" s="111">
        <v>45</v>
      </c>
      <c r="F144" s="111">
        <v>45</v>
      </c>
      <c r="G144" s="111">
        <v>45</v>
      </c>
    </row>
    <row r="145" spans="1:7" ht="15" thickBot="1">
      <c r="A145" s="397" t="s">
        <v>236</v>
      </c>
      <c r="B145" s="398"/>
      <c r="C145" s="398"/>
      <c r="D145" s="398"/>
      <c r="E145" s="398"/>
      <c r="F145" s="398"/>
      <c r="G145" s="399"/>
    </row>
    <row r="146" spans="1:7" ht="16.2" thickBot="1">
      <c r="A146" s="113" t="s">
        <v>237</v>
      </c>
      <c r="B146" s="109" t="s">
        <v>238</v>
      </c>
      <c r="C146" s="108">
        <v>1900</v>
      </c>
      <c r="D146" s="108">
        <v>1900</v>
      </c>
      <c r="E146" s="108">
        <v>1900</v>
      </c>
      <c r="F146" s="108">
        <v>1900</v>
      </c>
      <c r="G146" s="108">
        <v>1900</v>
      </c>
    </row>
    <row r="147" spans="1:7" ht="16.2" thickBot="1">
      <c r="A147" s="113" t="s">
        <v>239</v>
      </c>
      <c r="B147" s="115" t="s">
        <v>238</v>
      </c>
      <c r="C147" s="114">
        <v>1615</v>
      </c>
      <c r="D147" s="114">
        <v>1615</v>
      </c>
      <c r="E147" s="114">
        <v>1615</v>
      </c>
      <c r="F147" s="114">
        <v>1615</v>
      </c>
      <c r="G147" s="114">
        <v>1615</v>
      </c>
    </row>
    <row r="148" spans="1:7" ht="16.2" thickBot="1">
      <c r="A148" s="113" t="s">
        <v>240</v>
      </c>
      <c r="B148" s="112" t="s">
        <v>238</v>
      </c>
      <c r="C148" s="111">
        <v>2280</v>
      </c>
      <c r="D148" s="111">
        <v>2280</v>
      </c>
      <c r="E148" s="111">
        <v>2280</v>
      </c>
      <c r="F148" s="111">
        <v>2280</v>
      </c>
      <c r="G148" s="111">
        <v>2280</v>
      </c>
    </row>
    <row r="149" spans="1:7" ht="27" thickBot="1">
      <c r="A149" s="113" t="s">
        <v>241</v>
      </c>
      <c r="B149" s="115"/>
      <c r="C149" s="403" t="s">
        <v>242</v>
      </c>
      <c r="D149" s="404"/>
      <c r="E149" s="404"/>
      <c r="F149" s="404"/>
      <c r="G149" s="405"/>
    </row>
    <row r="150" spans="1:7" ht="15" thickBot="1">
      <c r="A150" s="113" t="s">
        <v>243</v>
      </c>
      <c r="B150" s="112" t="s">
        <v>229</v>
      </c>
      <c r="C150" s="111" t="s">
        <v>244</v>
      </c>
      <c r="D150" s="111"/>
      <c r="E150" s="111"/>
      <c r="F150" s="111"/>
      <c r="G150" s="111"/>
    </row>
    <row r="151" spans="1:7" ht="27" thickBot="1">
      <c r="A151" s="113" t="s">
        <v>245</v>
      </c>
      <c r="B151" s="115" t="s">
        <v>246</v>
      </c>
      <c r="C151" s="114">
        <v>2</v>
      </c>
      <c r="D151" s="114">
        <v>2</v>
      </c>
      <c r="E151" s="114">
        <v>2</v>
      </c>
      <c r="F151" s="114">
        <v>2</v>
      </c>
      <c r="G151" s="114">
        <v>2</v>
      </c>
    </row>
    <row r="152" spans="1:7" ht="16.2" thickBot="1">
      <c r="A152" s="113" t="s">
        <v>247</v>
      </c>
      <c r="B152" s="112" t="s">
        <v>248</v>
      </c>
      <c r="C152" s="111">
        <v>6</v>
      </c>
      <c r="D152" s="111">
        <v>6</v>
      </c>
      <c r="E152" s="111">
        <v>6</v>
      </c>
      <c r="F152" s="111">
        <v>6</v>
      </c>
      <c r="G152" s="111">
        <v>6</v>
      </c>
    </row>
    <row r="153" spans="1:7" ht="15" thickBot="1">
      <c r="A153" s="113" t="s">
        <v>250</v>
      </c>
      <c r="B153" s="115">
        <v>1</v>
      </c>
      <c r="C153" s="114">
        <v>100</v>
      </c>
      <c r="D153" s="114">
        <v>100</v>
      </c>
      <c r="E153" s="114">
        <v>100</v>
      </c>
      <c r="F153" s="114">
        <v>100</v>
      </c>
      <c r="G153" s="114">
        <v>100</v>
      </c>
    </row>
    <row r="154" spans="1:7" ht="15" thickBot="1">
      <c r="A154" s="397" t="s">
        <v>251</v>
      </c>
      <c r="B154" s="398"/>
      <c r="C154" s="398"/>
      <c r="D154" s="398"/>
      <c r="E154" s="398"/>
      <c r="F154" s="398"/>
      <c r="G154" s="399"/>
    </row>
    <row r="155" spans="1:7" ht="29.4" thickBot="1">
      <c r="A155" s="113" t="s">
        <v>252</v>
      </c>
      <c r="B155" s="116" t="s">
        <v>253</v>
      </c>
      <c r="C155" s="172">
        <v>1010</v>
      </c>
      <c r="D155" s="172">
        <v>985</v>
      </c>
      <c r="E155" s="172">
        <v>940</v>
      </c>
      <c r="F155" s="172">
        <v>940</v>
      </c>
      <c r="G155" s="172">
        <v>940</v>
      </c>
    </row>
    <row r="156" spans="1:7" ht="29.4" thickBot="1">
      <c r="A156" s="113" t="s">
        <v>254</v>
      </c>
      <c r="B156" s="112" t="s">
        <v>253</v>
      </c>
      <c r="C156" s="111">
        <v>110</v>
      </c>
      <c r="D156" s="111">
        <v>105</v>
      </c>
      <c r="E156" s="111">
        <v>100</v>
      </c>
      <c r="F156" s="111">
        <v>100</v>
      </c>
      <c r="G156" s="111">
        <v>100</v>
      </c>
    </row>
    <row r="157" spans="1:7" ht="15" thickBot="1">
      <c r="A157" s="113" t="s">
        <v>255</v>
      </c>
      <c r="B157" s="115" t="s">
        <v>256</v>
      </c>
      <c r="C157" s="114">
        <v>750</v>
      </c>
      <c r="D157" s="114">
        <v>735</v>
      </c>
      <c r="E157" s="114">
        <v>700</v>
      </c>
      <c r="F157" s="114">
        <v>700</v>
      </c>
      <c r="G157" s="114">
        <v>700</v>
      </c>
    </row>
    <row r="158" spans="1:7" ht="15" thickBot="1">
      <c r="A158" s="113" t="s">
        <v>257</v>
      </c>
      <c r="B158" s="112" t="s">
        <v>256</v>
      </c>
      <c r="C158" s="111">
        <v>980</v>
      </c>
      <c r="D158" s="111">
        <v>960</v>
      </c>
      <c r="E158" s="111">
        <v>915</v>
      </c>
      <c r="F158" s="111">
        <v>915</v>
      </c>
      <c r="G158" s="111">
        <v>915</v>
      </c>
    </row>
    <row r="159" spans="1:7" ht="15" thickBot="1">
      <c r="A159" s="397" t="s">
        <v>258</v>
      </c>
      <c r="B159" s="398"/>
      <c r="C159" s="398"/>
      <c r="D159" s="398"/>
      <c r="E159" s="398"/>
      <c r="F159" s="398"/>
      <c r="G159" s="399"/>
    </row>
    <row r="160" spans="1:7" ht="15" thickBot="1">
      <c r="A160" s="110" t="s">
        <v>259</v>
      </c>
      <c r="B160" s="109" t="s">
        <v>260</v>
      </c>
      <c r="C160" s="108" t="s">
        <v>244</v>
      </c>
      <c r="D160" s="108" t="s">
        <v>244</v>
      </c>
      <c r="E160" s="108" t="s">
        <v>244</v>
      </c>
      <c r="F160" s="108" t="s">
        <v>244</v>
      </c>
      <c r="G160" s="108" t="s">
        <v>244</v>
      </c>
    </row>
    <row r="162" spans="1:11" ht="15" thickBot="1">
      <c r="A162" s="9" t="s">
        <v>276</v>
      </c>
    </row>
    <row r="163" spans="1:11" ht="15" thickBot="1">
      <c r="A163" s="118"/>
      <c r="B163" s="117" t="s">
        <v>46</v>
      </c>
      <c r="C163" s="117">
        <v>2013</v>
      </c>
      <c r="D163" s="117">
        <v>2020</v>
      </c>
      <c r="E163" s="117">
        <v>2030</v>
      </c>
      <c r="F163" s="117">
        <v>2040</v>
      </c>
      <c r="G163" s="117">
        <v>2050</v>
      </c>
      <c r="J163" s="9" t="s">
        <v>275</v>
      </c>
    </row>
    <row r="164" spans="1:11" ht="15.6" thickTop="1" thickBot="1">
      <c r="A164" s="400" t="s">
        <v>224</v>
      </c>
      <c r="B164" s="401"/>
      <c r="C164" s="401"/>
      <c r="D164" s="401"/>
      <c r="E164" s="401"/>
      <c r="F164" s="401"/>
      <c r="G164" s="402"/>
      <c r="J164" s="91" t="s">
        <v>274</v>
      </c>
      <c r="K164" s="119">
        <v>0.03</v>
      </c>
    </row>
    <row r="165" spans="1:11" ht="15" thickBot="1">
      <c r="A165" s="113" t="s">
        <v>225</v>
      </c>
      <c r="B165" s="109" t="s">
        <v>189</v>
      </c>
      <c r="C165" s="108">
        <v>600</v>
      </c>
      <c r="D165" s="108">
        <v>600</v>
      </c>
      <c r="E165" s="108">
        <v>600</v>
      </c>
      <c r="F165" s="108">
        <v>600</v>
      </c>
      <c r="G165" s="108">
        <v>600</v>
      </c>
      <c r="J165" s="91" t="s">
        <v>273</v>
      </c>
      <c r="K165" s="119">
        <v>0.46</v>
      </c>
    </row>
    <row r="166" spans="1:11" ht="27" thickBot="1">
      <c r="A166" s="113" t="s">
        <v>226</v>
      </c>
      <c r="B166" s="115" t="s">
        <v>189</v>
      </c>
      <c r="C166" s="114">
        <v>700</v>
      </c>
      <c r="D166" s="114">
        <v>700</v>
      </c>
      <c r="E166" s="114">
        <v>700</v>
      </c>
      <c r="F166" s="114">
        <v>700</v>
      </c>
      <c r="G166" s="114">
        <v>700</v>
      </c>
      <c r="J166" s="91" t="s">
        <v>272</v>
      </c>
      <c r="K166" s="119">
        <v>0.09</v>
      </c>
    </row>
    <row r="167" spans="1:11" ht="15" thickBot="1">
      <c r="A167" s="113" t="s">
        <v>227</v>
      </c>
      <c r="B167" s="112" t="s">
        <v>189</v>
      </c>
      <c r="C167" s="111">
        <v>1330</v>
      </c>
      <c r="D167" s="111">
        <v>1330</v>
      </c>
      <c r="E167" s="111">
        <v>1330</v>
      </c>
      <c r="F167" s="111">
        <v>1280</v>
      </c>
      <c r="G167" s="111">
        <v>1200</v>
      </c>
      <c r="J167" s="91" t="s">
        <v>271</v>
      </c>
      <c r="K167" s="119">
        <v>0.24</v>
      </c>
    </row>
    <row r="168" spans="1:11" ht="15" thickBot="1">
      <c r="A168" s="113" t="s">
        <v>228</v>
      </c>
      <c r="B168" s="115" t="s">
        <v>229</v>
      </c>
      <c r="C168" s="114">
        <v>90</v>
      </c>
      <c r="D168" s="114">
        <v>90</v>
      </c>
      <c r="E168" s="114">
        <v>90</v>
      </c>
      <c r="F168" s="114">
        <v>90</v>
      </c>
      <c r="G168" s="114">
        <v>90</v>
      </c>
      <c r="J168" s="91" t="s">
        <v>270</v>
      </c>
      <c r="K168" s="119">
        <v>0.18</v>
      </c>
    </row>
    <row r="169" spans="1:11" ht="15" thickBot="1">
      <c r="A169" s="113" t="s">
        <v>230</v>
      </c>
      <c r="B169" s="112" t="s">
        <v>229</v>
      </c>
      <c r="C169" s="111">
        <v>85</v>
      </c>
      <c r="D169" s="111">
        <v>85</v>
      </c>
      <c r="E169" s="111">
        <v>85</v>
      </c>
      <c r="F169" s="111">
        <v>85</v>
      </c>
      <c r="G169" s="111">
        <v>85</v>
      </c>
    </row>
    <row r="170" spans="1:11" ht="15" thickBot="1">
      <c r="A170" s="113" t="s">
        <v>231</v>
      </c>
      <c r="B170" s="115" t="s">
        <v>232</v>
      </c>
      <c r="C170" s="114">
        <v>35</v>
      </c>
      <c r="D170" s="114">
        <v>35</v>
      </c>
      <c r="E170" s="114">
        <v>35</v>
      </c>
      <c r="F170" s="114">
        <v>35</v>
      </c>
      <c r="G170" s="114">
        <v>35</v>
      </c>
    </row>
    <row r="171" spans="1:11" ht="15" thickBot="1">
      <c r="A171" s="113" t="s">
        <v>233</v>
      </c>
      <c r="B171" s="112" t="s">
        <v>229</v>
      </c>
      <c r="C171" s="111">
        <v>45</v>
      </c>
      <c r="D171" s="111">
        <v>46</v>
      </c>
      <c r="E171" s="111">
        <v>46</v>
      </c>
      <c r="F171" s="111">
        <v>47</v>
      </c>
      <c r="G171" s="111">
        <v>50</v>
      </c>
    </row>
    <row r="172" spans="1:11" ht="15" thickBot="1">
      <c r="A172" s="397" t="s">
        <v>236</v>
      </c>
      <c r="B172" s="398"/>
      <c r="C172" s="398"/>
      <c r="D172" s="398"/>
      <c r="E172" s="398"/>
      <c r="F172" s="398"/>
      <c r="G172" s="399"/>
    </row>
    <row r="173" spans="1:11" ht="16.2" thickBot="1">
      <c r="A173" s="113" t="s">
        <v>237</v>
      </c>
      <c r="B173" s="109" t="s">
        <v>238</v>
      </c>
      <c r="C173" s="108">
        <v>2500</v>
      </c>
      <c r="D173" s="108">
        <v>2300</v>
      </c>
      <c r="E173" s="108">
        <v>2300</v>
      </c>
      <c r="F173" s="108">
        <v>2300</v>
      </c>
      <c r="G173" s="108">
        <v>2200</v>
      </c>
    </row>
    <row r="174" spans="1:11" ht="16.2" thickBot="1">
      <c r="A174" s="113" t="s">
        <v>239</v>
      </c>
      <c r="B174" s="115" t="s">
        <v>238</v>
      </c>
      <c r="C174" s="114">
        <v>2450</v>
      </c>
      <c r="D174" s="114">
        <v>2255</v>
      </c>
      <c r="E174" s="114">
        <v>2255</v>
      </c>
      <c r="F174" s="114">
        <v>2055</v>
      </c>
      <c r="G174" s="114">
        <v>2150</v>
      </c>
    </row>
    <row r="175" spans="1:11" ht="16.2" thickBot="1">
      <c r="A175" s="113" t="s">
        <v>240</v>
      </c>
      <c r="B175" s="112" t="s">
        <v>238</v>
      </c>
      <c r="C175" s="111">
        <v>3100</v>
      </c>
      <c r="D175" s="111">
        <v>2850</v>
      </c>
      <c r="E175" s="111">
        <v>2850</v>
      </c>
      <c r="F175" s="111">
        <v>2850</v>
      </c>
      <c r="G175" s="111">
        <v>2730</v>
      </c>
    </row>
    <row r="176" spans="1:11" ht="27" thickBot="1">
      <c r="A176" s="113" t="s">
        <v>241</v>
      </c>
      <c r="B176" s="115"/>
      <c r="C176" s="403" t="s">
        <v>242</v>
      </c>
      <c r="D176" s="404"/>
      <c r="E176" s="404"/>
      <c r="F176" s="404"/>
      <c r="G176" s="405"/>
    </row>
    <row r="177" spans="1:7" ht="15" thickBot="1">
      <c r="A177" s="113" t="s">
        <v>243</v>
      </c>
      <c r="B177" s="112" t="s">
        <v>229</v>
      </c>
      <c r="C177" s="111">
        <v>11</v>
      </c>
      <c r="D177" s="111">
        <v>11</v>
      </c>
      <c r="E177" s="111">
        <v>11</v>
      </c>
      <c r="F177" s="111">
        <v>11</v>
      </c>
      <c r="G177" s="111" t="s">
        <v>244</v>
      </c>
    </row>
    <row r="178" spans="1:7" ht="27" thickBot="1">
      <c r="A178" s="113" t="s">
        <v>245</v>
      </c>
      <c r="B178" s="115" t="s">
        <v>246</v>
      </c>
      <c r="C178" s="114">
        <v>2.5</v>
      </c>
      <c r="D178" s="114">
        <v>2.5</v>
      </c>
      <c r="E178" s="114">
        <v>2.5</v>
      </c>
      <c r="F178" s="114">
        <v>2.5</v>
      </c>
      <c r="G178" s="114">
        <v>2.5</v>
      </c>
    </row>
    <row r="179" spans="1:7" ht="16.2" thickBot="1">
      <c r="A179" s="113" t="s">
        <v>247</v>
      </c>
      <c r="B179" s="112" t="s">
        <v>248</v>
      </c>
      <c r="C179" s="111">
        <v>5</v>
      </c>
      <c r="D179" s="111">
        <v>5</v>
      </c>
      <c r="E179" s="111">
        <v>5</v>
      </c>
      <c r="F179" s="111">
        <v>5</v>
      </c>
      <c r="G179" s="111">
        <v>5</v>
      </c>
    </row>
    <row r="180" spans="1:7" ht="15" thickBot="1">
      <c r="A180" s="113" t="s">
        <v>250</v>
      </c>
      <c r="B180" s="115">
        <v>1</v>
      </c>
      <c r="C180" s="114">
        <v>300</v>
      </c>
      <c r="D180" s="114">
        <v>300</v>
      </c>
      <c r="E180" s="114">
        <v>300</v>
      </c>
      <c r="F180" s="114">
        <v>300</v>
      </c>
      <c r="G180" s="114">
        <v>300</v>
      </c>
    </row>
    <row r="181" spans="1:7" ht="15" thickBot="1">
      <c r="A181" s="397" t="s">
        <v>251</v>
      </c>
      <c r="B181" s="398"/>
      <c r="C181" s="398"/>
      <c r="D181" s="398"/>
      <c r="E181" s="398"/>
      <c r="F181" s="398"/>
      <c r="G181" s="399"/>
    </row>
    <row r="182" spans="1:7" ht="29.4" thickBot="1">
      <c r="A182" s="113" t="s">
        <v>252</v>
      </c>
      <c r="B182" s="116" t="s">
        <v>253</v>
      </c>
      <c r="C182" s="172">
        <v>900</v>
      </c>
      <c r="D182" s="172">
        <v>880</v>
      </c>
      <c r="E182" s="172">
        <v>880</v>
      </c>
      <c r="F182" s="172">
        <v>860</v>
      </c>
      <c r="G182" s="172">
        <v>810</v>
      </c>
    </row>
    <row r="183" spans="1:7" ht="29.4" thickBot="1">
      <c r="A183" s="113" t="s">
        <v>254</v>
      </c>
      <c r="B183" s="112" t="s">
        <v>253</v>
      </c>
      <c r="C183" s="111">
        <v>100</v>
      </c>
      <c r="D183" s="111">
        <v>98</v>
      </c>
      <c r="E183" s="111">
        <v>98</v>
      </c>
      <c r="F183" s="111">
        <v>96</v>
      </c>
      <c r="G183" s="111">
        <v>90</v>
      </c>
    </row>
    <row r="184" spans="1:7" ht="15" thickBot="1">
      <c r="A184" s="113" t="s">
        <v>255</v>
      </c>
      <c r="B184" s="115" t="s">
        <v>256</v>
      </c>
      <c r="C184" s="114">
        <v>1280</v>
      </c>
      <c r="D184" s="114">
        <v>1250</v>
      </c>
      <c r="E184" s="114">
        <v>1250</v>
      </c>
      <c r="F184" s="114">
        <v>1220</v>
      </c>
      <c r="G184" s="114">
        <v>1150</v>
      </c>
    </row>
    <row r="185" spans="1:7" ht="15" thickBot="1">
      <c r="A185" s="113" t="s">
        <v>257</v>
      </c>
      <c r="B185" s="112" t="s">
        <v>256</v>
      </c>
      <c r="C185" s="111">
        <v>1610</v>
      </c>
      <c r="D185" s="111">
        <v>1575</v>
      </c>
      <c r="E185" s="111">
        <v>1575</v>
      </c>
      <c r="F185" s="111">
        <v>1540</v>
      </c>
      <c r="G185" s="111">
        <v>1450</v>
      </c>
    </row>
    <row r="186" spans="1:7" ht="15" thickBot="1">
      <c r="A186" s="397" t="s">
        <v>258</v>
      </c>
      <c r="B186" s="398"/>
      <c r="C186" s="398"/>
      <c r="D186" s="398"/>
      <c r="E186" s="398"/>
      <c r="F186" s="398"/>
      <c r="G186" s="399"/>
    </row>
    <row r="187" spans="1:7" ht="15" thickBot="1">
      <c r="A187" s="110" t="s">
        <v>262</v>
      </c>
      <c r="B187" s="109" t="s">
        <v>260</v>
      </c>
      <c r="C187" s="108" t="s">
        <v>244</v>
      </c>
      <c r="D187" s="108" t="s">
        <v>244</v>
      </c>
      <c r="E187" s="108" t="s">
        <v>244</v>
      </c>
      <c r="F187" s="108" t="s">
        <v>244</v>
      </c>
      <c r="G187" s="108" t="s">
        <v>244</v>
      </c>
    </row>
    <row r="189" spans="1:7" ht="15" thickBot="1">
      <c r="A189" s="9" t="s">
        <v>269</v>
      </c>
    </row>
    <row r="190" spans="1:7" ht="15" thickBot="1">
      <c r="A190" s="118"/>
      <c r="B190" s="117" t="s">
        <v>46</v>
      </c>
      <c r="C190" s="117">
        <v>2013</v>
      </c>
      <c r="D190" s="117">
        <v>2020</v>
      </c>
      <c r="E190" s="117">
        <v>2030</v>
      </c>
      <c r="F190" s="117">
        <v>2040</v>
      </c>
      <c r="G190" s="117">
        <v>2050</v>
      </c>
    </row>
    <row r="191" spans="1:7" ht="15.6" thickTop="1" thickBot="1">
      <c r="A191" s="400" t="s">
        <v>224</v>
      </c>
      <c r="B191" s="401"/>
      <c r="C191" s="401"/>
      <c r="D191" s="401"/>
      <c r="E191" s="401"/>
      <c r="F191" s="401"/>
      <c r="G191" s="402"/>
    </row>
    <row r="192" spans="1:7" ht="15" thickBot="1">
      <c r="A192" s="113" t="s">
        <v>225</v>
      </c>
      <c r="B192" s="109" t="s">
        <v>189</v>
      </c>
      <c r="C192" s="108">
        <v>600</v>
      </c>
      <c r="D192" s="108">
        <v>600</v>
      </c>
      <c r="E192" s="108">
        <v>600</v>
      </c>
      <c r="F192" s="108">
        <v>600</v>
      </c>
      <c r="G192" s="108">
        <v>600</v>
      </c>
    </row>
    <row r="193" spans="1:7" ht="27" thickBot="1">
      <c r="A193" s="113" t="s">
        <v>226</v>
      </c>
      <c r="B193" s="115" t="s">
        <v>189</v>
      </c>
      <c r="C193" s="114">
        <v>725</v>
      </c>
      <c r="D193" s="114">
        <v>725</v>
      </c>
      <c r="E193" s="114">
        <v>725</v>
      </c>
      <c r="F193" s="114">
        <v>725</v>
      </c>
      <c r="G193" s="114">
        <v>725</v>
      </c>
    </row>
    <row r="194" spans="1:7" ht="15" thickBot="1">
      <c r="A194" s="113" t="s">
        <v>227</v>
      </c>
      <c r="B194" s="112" t="s">
        <v>189</v>
      </c>
      <c r="C194" s="111">
        <v>1400</v>
      </c>
      <c r="D194" s="111">
        <v>1330</v>
      </c>
      <c r="E194" s="111">
        <v>1300</v>
      </c>
      <c r="F194" s="111">
        <v>1280</v>
      </c>
      <c r="G194" s="111">
        <v>1280</v>
      </c>
    </row>
    <row r="195" spans="1:7" ht="15" thickBot="1">
      <c r="A195" s="113" t="s">
        <v>228</v>
      </c>
      <c r="B195" s="115" t="s">
        <v>229</v>
      </c>
      <c r="C195" s="114">
        <v>90</v>
      </c>
      <c r="D195" s="114">
        <v>90</v>
      </c>
      <c r="E195" s="114">
        <v>90</v>
      </c>
      <c r="F195" s="114">
        <v>90</v>
      </c>
      <c r="G195" s="114">
        <v>90</v>
      </c>
    </row>
    <row r="196" spans="1:7" ht="15" thickBot="1">
      <c r="A196" s="113" t="s">
        <v>230</v>
      </c>
      <c r="B196" s="112" t="s">
        <v>229</v>
      </c>
      <c r="C196" s="111">
        <v>85</v>
      </c>
      <c r="D196" s="111">
        <v>85</v>
      </c>
      <c r="E196" s="111">
        <v>85</v>
      </c>
      <c r="F196" s="111">
        <v>85</v>
      </c>
      <c r="G196" s="111">
        <v>85</v>
      </c>
    </row>
    <row r="197" spans="1:7" ht="15" thickBot="1">
      <c r="A197" s="113" t="s">
        <v>231</v>
      </c>
      <c r="B197" s="115" t="s">
        <v>232</v>
      </c>
      <c r="C197" s="114">
        <v>35</v>
      </c>
      <c r="D197" s="114">
        <v>35</v>
      </c>
      <c r="E197" s="114">
        <v>35</v>
      </c>
      <c r="F197" s="114">
        <v>35</v>
      </c>
      <c r="G197" s="114">
        <v>35</v>
      </c>
    </row>
    <row r="198" spans="1:7" ht="15" thickBot="1">
      <c r="A198" s="113" t="s">
        <v>233</v>
      </c>
      <c r="B198" s="112" t="s">
        <v>229</v>
      </c>
      <c r="C198" s="111">
        <v>43</v>
      </c>
      <c r="D198" s="111">
        <v>45</v>
      </c>
      <c r="E198" s="111">
        <v>46</v>
      </c>
      <c r="F198" s="111">
        <v>47</v>
      </c>
      <c r="G198" s="111">
        <v>47</v>
      </c>
    </row>
    <row r="199" spans="1:7" ht="15" thickBot="1">
      <c r="A199" s="397" t="s">
        <v>236</v>
      </c>
      <c r="B199" s="398"/>
      <c r="C199" s="398"/>
      <c r="D199" s="398"/>
      <c r="E199" s="398"/>
      <c r="F199" s="398"/>
      <c r="G199" s="399"/>
    </row>
    <row r="200" spans="1:7" ht="16.2" thickBot="1">
      <c r="A200" s="113" t="s">
        <v>237</v>
      </c>
      <c r="B200" s="109" t="s">
        <v>238</v>
      </c>
      <c r="C200" s="108">
        <v>3100</v>
      </c>
      <c r="D200" s="108">
        <v>3000</v>
      </c>
      <c r="E200" s="108">
        <v>3000</v>
      </c>
      <c r="F200" s="108">
        <v>3000</v>
      </c>
      <c r="G200" s="108">
        <v>3000</v>
      </c>
    </row>
    <row r="201" spans="1:7" ht="16.2" thickBot="1">
      <c r="A201" s="113" t="s">
        <v>239</v>
      </c>
      <c r="B201" s="115" t="s">
        <v>238</v>
      </c>
      <c r="C201" s="114">
        <v>2650</v>
      </c>
      <c r="D201" s="114">
        <v>2600</v>
      </c>
      <c r="E201" s="114">
        <v>2600</v>
      </c>
      <c r="F201" s="114">
        <v>2600</v>
      </c>
      <c r="G201" s="114">
        <v>2600</v>
      </c>
    </row>
    <row r="202" spans="1:7" ht="16.2" thickBot="1">
      <c r="A202" s="113" t="s">
        <v>240</v>
      </c>
      <c r="B202" s="112" t="s">
        <v>238</v>
      </c>
      <c r="C202" s="111">
        <v>3350</v>
      </c>
      <c r="D202" s="111">
        <v>3250</v>
      </c>
      <c r="E202" s="111">
        <v>3250</v>
      </c>
      <c r="F202" s="111">
        <v>3250</v>
      </c>
      <c r="G202" s="111">
        <v>3250</v>
      </c>
    </row>
    <row r="203" spans="1:7" ht="27" thickBot="1">
      <c r="A203" s="113" t="s">
        <v>241</v>
      </c>
      <c r="B203" s="115"/>
      <c r="C203" s="403" t="s">
        <v>242</v>
      </c>
      <c r="D203" s="404"/>
      <c r="E203" s="404"/>
      <c r="F203" s="404"/>
      <c r="G203" s="405"/>
    </row>
    <row r="204" spans="1:7" ht="15" thickBot="1">
      <c r="A204" s="113" t="s">
        <v>243</v>
      </c>
      <c r="B204" s="112" t="s">
        <v>229</v>
      </c>
      <c r="C204" s="111" t="s">
        <v>244</v>
      </c>
      <c r="D204" s="111"/>
      <c r="E204" s="111"/>
      <c r="F204" s="111"/>
      <c r="G204" s="111"/>
    </row>
    <row r="205" spans="1:7" ht="27" thickBot="1">
      <c r="A205" s="113" t="s">
        <v>245</v>
      </c>
      <c r="B205" s="115" t="s">
        <v>246</v>
      </c>
      <c r="C205" s="114">
        <v>3</v>
      </c>
      <c r="D205" s="114">
        <v>3</v>
      </c>
      <c r="E205" s="114">
        <v>3</v>
      </c>
      <c r="F205" s="114">
        <v>3</v>
      </c>
      <c r="G205" s="114">
        <v>3</v>
      </c>
    </row>
    <row r="206" spans="1:7" ht="16.2" thickBot="1">
      <c r="A206" s="113" t="s">
        <v>247</v>
      </c>
      <c r="B206" s="112" t="s">
        <v>248</v>
      </c>
      <c r="C206" s="111">
        <v>7</v>
      </c>
      <c r="D206" s="111">
        <v>7</v>
      </c>
      <c r="E206" s="111">
        <v>7</v>
      </c>
      <c r="F206" s="111">
        <v>7</v>
      </c>
      <c r="G206" s="111">
        <v>7</v>
      </c>
    </row>
    <row r="207" spans="1:7" ht="15" thickBot="1">
      <c r="A207" s="113" t="s">
        <v>250</v>
      </c>
      <c r="B207" s="115">
        <v>1</v>
      </c>
      <c r="C207" s="114">
        <v>300</v>
      </c>
      <c r="D207" s="114">
        <v>300</v>
      </c>
      <c r="E207" s="114">
        <v>300</v>
      </c>
      <c r="F207" s="114">
        <v>300</v>
      </c>
      <c r="G207" s="114">
        <v>300</v>
      </c>
    </row>
    <row r="208" spans="1:7" ht="15" thickBot="1">
      <c r="A208" s="397" t="s">
        <v>251</v>
      </c>
      <c r="B208" s="398"/>
      <c r="C208" s="398"/>
      <c r="D208" s="398"/>
      <c r="E208" s="398"/>
      <c r="F208" s="398"/>
      <c r="G208" s="399"/>
    </row>
    <row r="209" spans="1:7" ht="29.4" thickBot="1">
      <c r="A209" s="113" t="s">
        <v>252</v>
      </c>
      <c r="B209" s="116" t="s">
        <v>253</v>
      </c>
      <c r="C209" s="172">
        <v>1005</v>
      </c>
      <c r="D209" s="172">
        <v>960</v>
      </c>
      <c r="E209" s="172">
        <v>940</v>
      </c>
      <c r="F209" s="172">
        <v>920</v>
      </c>
      <c r="G209" s="172">
        <v>920</v>
      </c>
    </row>
    <row r="210" spans="1:7" ht="29.4" thickBot="1">
      <c r="A210" s="113" t="s">
        <v>254</v>
      </c>
      <c r="B210" s="112" t="s">
        <v>253</v>
      </c>
      <c r="C210" s="111">
        <v>115</v>
      </c>
      <c r="D210" s="111">
        <v>110</v>
      </c>
      <c r="E210" s="111">
        <v>105</v>
      </c>
      <c r="F210" s="111">
        <v>100</v>
      </c>
      <c r="G210" s="111">
        <v>100</v>
      </c>
    </row>
    <row r="211" spans="1:7" ht="15" thickBot="1">
      <c r="A211" s="113" t="s">
        <v>255</v>
      </c>
      <c r="B211" s="115" t="s">
        <v>256</v>
      </c>
      <c r="C211" s="114">
        <v>580</v>
      </c>
      <c r="D211" s="114">
        <v>555</v>
      </c>
      <c r="E211" s="114">
        <v>545</v>
      </c>
      <c r="F211" s="114">
        <v>530</v>
      </c>
      <c r="G211" s="114">
        <v>530</v>
      </c>
    </row>
    <row r="212" spans="1:7" ht="15" thickBot="1">
      <c r="A212" s="113" t="s">
        <v>257</v>
      </c>
      <c r="B212" s="112" t="s">
        <v>256</v>
      </c>
      <c r="C212" s="111">
        <v>800</v>
      </c>
      <c r="D212" s="111">
        <v>765</v>
      </c>
      <c r="E212" s="111">
        <v>750</v>
      </c>
      <c r="F212" s="111">
        <v>735</v>
      </c>
      <c r="G212" s="111">
        <v>735</v>
      </c>
    </row>
    <row r="213" spans="1:7" ht="15" thickBot="1">
      <c r="A213" s="397" t="s">
        <v>258</v>
      </c>
      <c r="B213" s="398"/>
      <c r="C213" s="398"/>
      <c r="D213" s="398"/>
      <c r="E213" s="398"/>
      <c r="F213" s="398"/>
      <c r="G213" s="399"/>
    </row>
    <row r="214" spans="1:7" ht="15" thickBot="1">
      <c r="A214" s="110" t="s">
        <v>259</v>
      </c>
      <c r="B214" s="109" t="s">
        <v>260</v>
      </c>
      <c r="C214" s="108" t="s">
        <v>244</v>
      </c>
      <c r="D214" s="108" t="s">
        <v>244</v>
      </c>
      <c r="E214" s="108" t="s">
        <v>244</v>
      </c>
      <c r="F214" s="108" t="s">
        <v>244</v>
      </c>
      <c r="G214" s="108" t="s">
        <v>244</v>
      </c>
    </row>
  </sheetData>
  <mergeCells count="40">
    <mergeCell ref="A3:G3"/>
    <mergeCell ref="A11:G11"/>
    <mergeCell ref="C15:G15"/>
    <mergeCell ref="A19:G19"/>
    <mergeCell ref="A24:G24"/>
    <mergeCell ref="A63:G63"/>
    <mergeCell ref="C67:G67"/>
    <mergeCell ref="A71:G71"/>
    <mergeCell ref="A76:G76"/>
    <mergeCell ref="A29:G29"/>
    <mergeCell ref="A37:G37"/>
    <mergeCell ref="C41:G41"/>
    <mergeCell ref="A45:G45"/>
    <mergeCell ref="A50:G50"/>
    <mergeCell ref="A55:G55"/>
    <mergeCell ref="A81:G81"/>
    <mergeCell ref="A89:G89"/>
    <mergeCell ref="A159:G159"/>
    <mergeCell ref="A99:G99"/>
    <mergeCell ref="A104:G104"/>
    <mergeCell ref="A109:G109"/>
    <mergeCell ref="A117:G117"/>
    <mergeCell ref="C121:G121"/>
    <mergeCell ref="A127:G127"/>
    <mergeCell ref="A132:G132"/>
    <mergeCell ref="C93:G93"/>
    <mergeCell ref="A137:G137"/>
    <mergeCell ref="A145:G145"/>
    <mergeCell ref="C149:G149"/>
    <mergeCell ref="A154:G154"/>
    <mergeCell ref="A199:G199"/>
    <mergeCell ref="A208:G208"/>
    <mergeCell ref="A213:G213"/>
    <mergeCell ref="A164:G164"/>
    <mergeCell ref="A172:G172"/>
    <mergeCell ref="C176:G176"/>
    <mergeCell ref="A181:G181"/>
    <mergeCell ref="A186:G186"/>
    <mergeCell ref="A191:G191"/>
    <mergeCell ref="C203:G20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W190"/>
  <sheetViews>
    <sheetView topLeftCell="A29" workbookViewId="0">
      <selection activeCell="S52" sqref="S52"/>
    </sheetView>
  </sheetViews>
  <sheetFormatPr defaultColWidth="9.109375" defaultRowHeight="14.4"/>
  <cols>
    <col min="1" max="1" width="22.6640625" style="91" customWidth="1"/>
    <col min="2" max="2" width="12.88671875" style="91" customWidth="1"/>
    <col min="3" max="9" width="9.109375" style="91"/>
    <col min="10" max="10" width="22.109375" style="91" customWidth="1"/>
    <col min="11" max="11" width="12.44140625" style="91" customWidth="1"/>
    <col min="12" max="17" width="9.109375" style="91"/>
    <col min="18" max="18" width="42.33203125" style="91" bestFit="1" customWidth="1"/>
    <col min="19" max="16384" width="9.109375" style="91"/>
  </cols>
  <sheetData>
    <row r="2" spans="1:23" ht="21">
      <c r="A2" s="121" t="s">
        <v>288</v>
      </c>
    </row>
    <row r="3" spans="1:23">
      <c r="A3" s="91" t="s">
        <v>289</v>
      </c>
    </row>
    <row r="5" spans="1:23">
      <c r="A5" s="9" t="s">
        <v>291</v>
      </c>
    </row>
    <row r="6" spans="1:23">
      <c r="A6" s="91" t="s">
        <v>290</v>
      </c>
    </row>
    <row r="7" spans="1:23">
      <c r="A7" s="91" t="s">
        <v>292</v>
      </c>
    </row>
    <row r="8" spans="1:23">
      <c r="A8" s="91" t="s">
        <v>293</v>
      </c>
    </row>
    <row r="9" spans="1:23">
      <c r="A9" s="91" t="s">
        <v>298</v>
      </c>
    </row>
    <row r="11" spans="1:23" ht="15" thickBot="1">
      <c r="A11" s="9" t="s">
        <v>223</v>
      </c>
      <c r="J11" s="91" t="str">
        <f>"Comparison between ADV fossil and "&amp;A11</f>
        <v>Comparison between ADV fossil and CCGT advanced CCS post combustion</v>
      </c>
      <c r="S11" s="91" t="s">
        <v>294</v>
      </c>
    </row>
    <row r="12" spans="1:23" ht="15" thickBot="1">
      <c r="A12" s="92"/>
      <c r="B12" s="93" t="s">
        <v>46</v>
      </c>
      <c r="C12" s="93">
        <v>2013</v>
      </c>
      <c r="D12" s="93">
        <v>2020</v>
      </c>
      <c r="E12" s="93">
        <v>2030</v>
      </c>
      <c r="F12" s="93">
        <v>2040</v>
      </c>
      <c r="G12" s="93">
        <v>2050</v>
      </c>
      <c r="J12" s="94"/>
      <c r="K12" s="94" t="s">
        <v>46</v>
      </c>
      <c r="L12" s="94">
        <v>2013</v>
      </c>
      <c r="M12" s="94">
        <v>2020</v>
      </c>
      <c r="N12" s="94">
        <v>2030</v>
      </c>
      <c r="O12" s="94">
        <v>2040</v>
      </c>
      <c r="P12" s="94">
        <v>2050</v>
      </c>
      <c r="S12" s="94">
        <v>2013</v>
      </c>
      <c r="T12" s="94">
        <v>2020</v>
      </c>
      <c r="U12" s="94">
        <v>2030</v>
      </c>
      <c r="V12" s="94">
        <v>2040</v>
      </c>
      <c r="W12" s="94">
        <v>2050</v>
      </c>
    </row>
    <row r="13" spans="1:23" ht="15.6" thickTop="1" thickBot="1">
      <c r="A13" s="406" t="s">
        <v>224</v>
      </c>
      <c r="B13" s="407"/>
      <c r="C13" s="407"/>
      <c r="D13" s="407"/>
      <c r="E13" s="407"/>
      <c r="F13" s="407"/>
      <c r="G13" s="408"/>
      <c r="J13" s="94" t="s">
        <v>224</v>
      </c>
    </row>
    <row r="14" spans="1:23" ht="15" thickBot="1">
      <c r="A14" s="95" t="s">
        <v>225</v>
      </c>
      <c r="B14" s="96" t="s">
        <v>189</v>
      </c>
      <c r="C14" s="97">
        <v>485</v>
      </c>
      <c r="D14" s="97">
        <v>485</v>
      </c>
      <c r="E14" s="97">
        <v>485</v>
      </c>
      <c r="F14" s="97">
        <v>485</v>
      </c>
      <c r="G14" s="97">
        <v>485</v>
      </c>
      <c r="J14" s="94" t="s">
        <v>225</v>
      </c>
      <c r="K14" s="91" t="s">
        <v>189</v>
      </c>
    </row>
    <row r="15" spans="1:23" ht="15" thickBot="1">
      <c r="A15" s="95" t="s">
        <v>226</v>
      </c>
      <c r="B15" s="98" t="s">
        <v>189</v>
      </c>
      <c r="C15" s="99">
        <v>550</v>
      </c>
      <c r="D15" s="99">
        <v>550</v>
      </c>
      <c r="E15" s="99">
        <v>550</v>
      </c>
      <c r="F15" s="99">
        <v>550</v>
      </c>
      <c r="G15" s="99">
        <v>550</v>
      </c>
      <c r="J15" s="94" t="s">
        <v>226</v>
      </c>
      <c r="K15" s="91" t="s">
        <v>189</v>
      </c>
    </row>
    <row r="16" spans="1:23" ht="15" thickBot="1">
      <c r="A16" s="95" t="s">
        <v>227</v>
      </c>
      <c r="B16" s="100" t="s">
        <v>189</v>
      </c>
      <c r="C16" s="101">
        <v>970</v>
      </c>
      <c r="D16" s="101">
        <v>930</v>
      </c>
      <c r="E16" s="101">
        <v>880</v>
      </c>
      <c r="F16" s="101">
        <v>880</v>
      </c>
      <c r="G16" s="101">
        <v>880</v>
      </c>
      <c r="J16" s="94" t="s">
        <v>227</v>
      </c>
      <c r="K16" s="91" t="s">
        <v>189</v>
      </c>
    </row>
    <row r="17" spans="1:23" ht="15" thickBot="1">
      <c r="A17" s="95" t="s">
        <v>228</v>
      </c>
      <c r="B17" s="98" t="s">
        <v>229</v>
      </c>
      <c r="C17" s="99">
        <v>90</v>
      </c>
      <c r="D17" s="99">
        <v>90</v>
      </c>
      <c r="E17" s="99">
        <v>90</v>
      </c>
      <c r="F17" s="99">
        <v>90</v>
      </c>
      <c r="G17" s="99">
        <v>90</v>
      </c>
      <c r="J17" s="94" t="s">
        <v>228</v>
      </c>
      <c r="K17" s="91" t="s">
        <v>229</v>
      </c>
      <c r="L17" s="91">
        <f>C17-'Adv fossil'!C59</f>
        <v>0</v>
      </c>
      <c r="M17" s="91">
        <f>D17-'Adv fossil'!D59</f>
        <v>0</v>
      </c>
      <c r="N17" s="91">
        <f>E17-'Adv fossil'!E59</f>
        <v>0</v>
      </c>
      <c r="O17" s="91">
        <f>F17-'Adv fossil'!F59</f>
        <v>0</v>
      </c>
      <c r="P17" s="91">
        <f>G17-'Adv fossil'!G59</f>
        <v>0</v>
      </c>
    </row>
    <row r="18" spans="1:23" ht="15" thickBot="1">
      <c r="A18" s="95" t="s">
        <v>230</v>
      </c>
      <c r="B18" s="100" t="s">
        <v>229</v>
      </c>
      <c r="C18" s="101">
        <v>85</v>
      </c>
      <c r="D18" s="101">
        <v>85</v>
      </c>
      <c r="E18" s="101">
        <v>85</v>
      </c>
      <c r="F18" s="101">
        <v>85</v>
      </c>
      <c r="G18" s="101">
        <v>85</v>
      </c>
      <c r="J18" s="94" t="s">
        <v>230</v>
      </c>
      <c r="K18" s="91" t="s">
        <v>229</v>
      </c>
      <c r="L18" s="91">
        <f>C18-'Adv fossil'!C60</f>
        <v>0</v>
      </c>
      <c r="M18" s="91">
        <f>D18-'Adv fossil'!D60</f>
        <v>0</v>
      </c>
      <c r="N18" s="91">
        <f>E18-'Adv fossil'!E60</f>
        <v>0</v>
      </c>
      <c r="O18" s="91">
        <f>F18-'Adv fossil'!F60</f>
        <v>0</v>
      </c>
      <c r="P18" s="91">
        <f>G18-'Adv fossil'!G60</f>
        <v>0</v>
      </c>
    </row>
    <row r="19" spans="1:23" ht="15" thickBot="1">
      <c r="A19" s="95" t="s">
        <v>231</v>
      </c>
      <c r="B19" s="98" t="s">
        <v>232</v>
      </c>
      <c r="C19" s="99">
        <v>30</v>
      </c>
      <c r="D19" s="99">
        <v>30</v>
      </c>
      <c r="E19" s="99">
        <v>30</v>
      </c>
      <c r="F19" s="99">
        <v>30</v>
      </c>
      <c r="G19" s="99">
        <v>30</v>
      </c>
      <c r="J19" s="94" t="s">
        <v>231</v>
      </c>
      <c r="K19" s="91" t="s">
        <v>232</v>
      </c>
      <c r="L19" s="91">
        <f>C19-'Adv fossil'!C61</f>
        <v>0</v>
      </c>
      <c r="M19" s="91">
        <f>D19-'Adv fossil'!D61</f>
        <v>0</v>
      </c>
      <c r="N19" s="91">
        <f>E19-'Adv fossil'!E61</f>
        <v>0</v>
      </c>
      <c r="O19" s="91">
        <f>F19-'Adv fossil'!F61</f>
        <v>0</v>
      </c>
      <c r="P19" s="91">
        <f>G19-'Adv fossil'!G61</f>
        <v>0</v>
      </c>
    </row>
    <row r="20" spans="1:23" ht="15" thickBot="1">
      <c r="A20" s="95" t="s">
        <v>233</v>
      </c>
      <c r="B20" s="100" t="s">
        <v>229</v>
      </c>
      <c r="C20" s="101">
        <v>50</v>
      </c>
      <c r="D20" s="101">
        <v>52</v>
      </c>
      <c r="E20" s="101">
        <v>55</v>
      </c>
      <c r="F20" s="101">
        <v>55</v>
      </c>
      <c r="G20" s="101">
        <v>55</v>
      </c>
      <c r="J20" s="94" t="s">
        <v>233</v>
      </c>
      <c r="K20" s="91" t="s">
        <v>229</v>
      </c>
      <c r="L20" s="102">
        <f>C20-'Adv fossil'!C62</f>
        <v>-8</v>
      </c>
      <c r="M20" s="102">
        <f>D20-'Adv fossil'!D62</f>
        <v>-8</v>
      </c>
      <c r="N20" s="102">
        <f>E20-'Adv fossil'!E62</f>
        <v>-7</v>
      </c>
      <c r="O20" s="102">
        <f>F20-'Adv fossil'!F62</f>
        <v>-7</v>
      </c>
      <c r="P20" s="102">
        <f>G20-'Adv fossil'!G62</f>
        <v>-8</v>
      </c>
      <c r="R20" s="91" t="s">
        <v>295</v>
      </c>
      <c r="S20" s="91">
        <f>-L20+C20</f>
        <v>58</v>
      </c>
      <c r="T20" s="91">
        <f>-M20+D20</f>
        <v>60</v>
      </c>
      <c r="U20" s="91">
        <f>-N20+E20</f>
        <v>62</v>
      </c>
      <c r="V20" s="91">
        <f>-O20+F20</f>
        <v>62</v>
      </c>
      <c r="W20" s="91">
        <f>-P20+G20</f>
        <v>63</v>
      </c>
    </row>
    <row r="21" spans="1:23" ht="27" thickBot="1">
      <c r="A21" s="95" t="s">
        <v>234</v>
      </c>
      <c r="B21" s="98" t="s">
        <v>229</v>
      </c>
      <c r="C21" s="99">
        <v>8</v>
      </c>
      <c r="D21" s="99">
        <v>8</v>
      </c>
      <c r="E21" s="99">
        <v>7</v>
      </c>
      <c r="F21" s="99">
        <v>7</v>
      </c>
      <c r="G21" s="99">
        <v>7</v>
      </c>
      <c r="J21" s="94" t="s">
        <v>234</v>
      </c>
      <c r="K21" s="91" t="s">
        <v>229</v>
      </c>
      <c r="L21" s="91">
        <f>C21</f>
        <v>8</v>
      </c>
      <c r="M21" s="91">
        <f>D21</f>
        <v>8</v>
      </c>
      <c r="N21" s="91">
        <f>E21</f>
        <v>7</v>
      </c>
      <c r="O21" s="91">
        <f>F21</f>
        <v>7</v>
      </c>
      <c r="P21" s="91">
        <f>G21</f>
        <v>7</v>
      </c>
      <c r="R21" s="91" t="s">
        <v>296</v>
      </c>
      <c r="S21" s="91">
        <f>L21</f>
        <v>8</v>
      </c>
      <c r="T21" s="91">
        <f>M21</f>
        <v>8</v>
      </c>
      <c r="U21" s="91">
        <f>N21</f>
        <v>7</v>
      </c>
      <c r="V21" s="91">
        <f>O21</f>
        <v>7</v>
      </c>
      <c r="W21" s="91">
        <f>P21</f>
        <v>7</v>
      </c>
    </row>
    <row r="22" spans="1:23" ht="29.4" thickBot="1">
      <c r="A22" s="95" t="s">
        <v>235</v>
      </c>
      <c r="B22" s="100" t="s">
        <v>229</v>
      </c>
      <c r="C22" s="101">
        <v>86</v>
      </c>
      <c r="D22" s="101">
        <v>86</v>
      </c>
      <c r="E22" s="101">
        <v>86</v>
      </c>
      <c r="F22" s="101">
        <v>86</v>
      </c>
      <c r="G22" s="101">
        <v>86</v>
      </c>
      <c r="J22" s="94" t="s">
        <v>235</v>
      </c>
      <c r="K22" s="91" t="s">
        <v>229</v>
      </c>
      <c r="R22" s="91" t="s">
        <v>297</v>
      </c>
      <c r="S22" s="91">
        <f>S21/S20</f>
        <v>0.13793103448275862</v>
      </c>
      <c r="T22" s="91">
        <f>T21/T20</f>
        <v>0.13333333333333333</v>
      </c>
      <c r="U22" s="91">
        <f>U21/U20</f>
        <v>0.11290322580645161</v>
      </c>
      <c r="V22" s="91">
        <f>V21/V20</f>
        <v>0.11290322580645161</v>
      </c>
      <c r="W22" s="91">
        <f>W21/W20</f>
        <v>0.1111111111111111</v>
      </c>
    </row>
    <row r="23" spans="1:23" ht="15" thickBot="1">
      <c r="A23" s="409" t="s">
        <v>236</v>
      </c>
      <c r="B23" s="410"/>
      <c r="C23" s="410"/>
      <c r="D23" s="410"/>
      <c r="E23" s="410"/>
      <c r="F23" s="410"/>
      <c r="G23" s="411"/>
      <c r="J23" s="94" t="s">
        <v>236</v>
      </c>
      <c r="K23" s="94"/>
      <c r="L23" s="94"/>
      <c r="M23" s="94"/>
      <c r="N23" s="94"/>
      <c r="O23" s="94"/>
      <c r="P23" s="94"/>
    </row>
    <row r="24" spans="1:23" ht="16.2" thickBot="1">
      <c r="A24" s="95" t="s">
        <v>237</v>
      </c>
      <c r="B24" s="96" t="s">
        <v>238</v>
      </c>
      <c r="C24" s="97">
        <v>1500</v>
      </c>
      <c r="D24" s="97">
        <v>1500</v>
      </c>
      <c r="E24" s="97">
        <v>1500</v>
      </c>
      <c r="F24" s="97">
        <v>1500</v>
      </c>
      <c r="G24" s="97">
        <v>1500</v>
      </c>
      <c r="J24" s="94" t="s">
        <v>237</v>
      </c>
      <c r="K24" s="91" t="s">
        <v>238</v>
      </c>
      <c r="L24" s="102">
        <f>C24-'Adv fossil'!C64</f>
        <v>650</v>
      </c>
      <c r="M24" s="102">
        <f>D24-'Adv fossil'!D64</f>
        <v>650</v>
      </c>
      <c r="N24" s="102">
        <f>E24-'Adv fossil'!E64</f>
        <v>650</v>
      </c>
      <c r="O24" s="102">
        <f>F24-'Adv fossil'!F64</f>
        <v>650</v>
      </c>
      <c r="P24" s="102">
        <f>G24-'Adv fossil'!G64</f>
        <v>650</v>
      </c>
    </row>
    <row r="25" spans="1:23" ht="16.2" thickBot="1">
      <c r="A25" s="95" t="s">
        <v>239</v>
      </c>
      <c r="B25" s="98" t="s">
        <v>238</v>
      </c>
      <c r="C25" s="99">
        <v>1250</v>
      </c>
      <c r="D25" s="99">
        <v>1250</v>
      </c>
      <c r="E25" s="99">
        <v>1250</v>
      </c>
      <c r="F25" s="99">
        <v>1250</v>
      </c>
      <c r="G25" s="99">
        <v>1250</v>
      </c>
      <c r="J25" s="94" t="s">
        <v>239</v>
      </c>
      <c r="K25" s="91" t="s">
        <v>238</v>
      </c>
      <c r="L25" s="102">
        <f>C25-'Adv fossil'!C65</f>
        <v>550</v>
      </c>
      <c r="M25" s="102">
        <f>D25-'Adv fossil'!D65</f>
        <v>550</v>
      </c>
      <c r="N25" s="102">
        <f>E25-'Adv fossil'!E65</f>
        <v>550</v>
      </c>
      <c r="O25" s="102">
        <f>F25-'Adv fossil'!F65</f>
        <v>550</v>
      </c>
      <c r="P25" s="102">
        <f>G25-'Adv fossil'!G65</f>
        <v>550</v>
      </c>
    </row>
    <row r="26" spans="1:23" ht="16.2" thickBot="1">
      <c r="A26" s="95" t="s">
        <v>240</v>
      </c>
      <c r="B26" s="100" t="s">
        <v>238</v>
      </c>
      <c r="C26" s="101">
        <v>1750</v>
      </c>
      <c r="D26" s="101">
        <v>1750</v>
      </c>
      <c r="E26" s="101">
        <v>1750</v>
      </c>
      <c r="F26" s="101">
        <v>1750</v>
      </c>
      <c r="G26" s="101">
        <v>1750</v>
      </c>
      <c r="J26" s="94" t="s">
        <v>240</v>
      </c>
      <c r="K26" s="91" t="s">
        <v>238</v>
      </c>
      <c r="L26" s="102">
        <f>C26-'Adv fossil'!C66</f>
        <v>800</v>
      </c>
      <c r="M26" s="102">
        <f>D26-'Adv fossil'!D66</f>
        <v>800</v>
      </c>
      <c r="N26" s="102">
        <f>E26-'Adv fossil'!E66</f>
        <v>800</v>
      </c>
      <c r="O26" s="102">
        <f>F26-'Adv fossil'!F66</f>
        <v>800</v>
      </c>
      <c r="P26" s="102">
        <f>G26-'Adv fossil'!G66</f>
        <v>800</v>
      </c>
    </row>
    <row r="27" spans="1:23" ht="27" thickBot="1">
      <c r="A27" s="95" t="s">
        <v>241</v>
      </c>
      <c r="B27" s="98"/>
      <c r="C27" s="412" t="s">
        <v>242</v>
      </c>
      <c r="D27" s="413"/>
      <c r="E27" s="413"/>
      <c r="F27" s="413"/>
      <c r="G27" s="414"/>
      <c r="J27" s="94" t="s">
        <v>241</v>
      </c>
      <c r="L27" s="91" t="s">
        <v>242</v>
      </c>
    </row>
    <row r="28" spans="1:23" ht="15" thickBot="1">
      <c r="A28" s="95" t="s">
        <v>243</v>
      </c>
      <c r="B28" s="100" t="s">
        <v>229</v>
      </c>
      <c r="C28" s="101" t="s">
        <v>244</v>
      </c>
      <c r="D28" s="101" t="s">
        <v>244</v>
      </c>
      <c r="E28" s="101" t="s">
        <v>244</v>
      </c>
      <c r="F28" s="101" t="s">
        <v>244</v>
      </c>
      <c r="G28" s="101" t="s">
        <v>244</v>
      </c>
      <c r="J28" s="94" t="s">
        <v>243</v>
      </c>
      <c r="K28" s="91" t="s">
        <v>229</v>
      </c>
      <c r="L28" s="91" t="s">
        <v>244</v>
      </c>
      <c r="M28" s="91" t="s">
        <v>244</v>
      </c>
      <c r="N28" s="91" t="s">
        <v>244</v>
      </c>
      <c r="O28" s="91" t="s">
        <v>244</v>
      </c>
      <c r="P28" s="91" t="s">
        <v>244</v>
      </c>
    </row>
    <row r="29" spans="1:23" ht="27" thickBot="1">
      <c r="A29" s="95" t="s">
        <v>245</v>
      </c>
      <c r="B29" s="98" t="s">
        <v>246</v>
      </c>
      <c r="C29" s="99">
        <v>2.5</v>
      </c>
      <c r="D29" s="99">
        <v>2.5</v>
      </c>
      <c r="E29" s="99">
        <v>2.5</v>
      </c>
      <c r="F29" s="99">
        <v>2.5</v>
      </c>
      <c r="G29" s="99">
        <v>2.5</v>
      </c>
      <c r="J29" s="94" t="s">
        <v>245</v>
      </c>
      <c r="K29" s="103" t="s">
        <v>246</v>
      </c>
      <c r="L29" s="104">
        <f>C29-'Adv fossil'!C69</f>
        <v>0</v>
      </c>
      <c r="M29" s="104">
        <f>D29-'Adv fossil'!D69</f>
        <v>0</v>
      </c>
      <c r="N29" s="104">
        <f>E29-'Adv fossil'!E69</f>
        <v>0</v>
      </c>
      <c r="O29" s="104">
        <f>F29-'Adv fossil'!F69</f>
        <v>0</v>
      </c>
      <c r="P29" s="104">
        <f>G29-'Adv fossil'!G69</f>
        <v>0</v>
      </c>
    </row>
    <row r="30" spans="1:23" ht="16.2" thickBot="1">
      <c r="A30" s="95" t="s">
        <v>247</v>
      </c>
      <c r="B30" s="100" t="s">
        <v>248</v>
      </c>
      <c r="C30" s="101">
        <v>4</v>
      </c>
      <c r="D30" s="101">
        <v>4</v>
      </c>
      <c r="E30" s="101">
        <v>4</v>
      </c>
      <c r="F30" s="101">
        <v>4</v>
      </c>
      <c r="G30" s="101">
        <v>4</v>
      </c>
      <c r="J30" s="94" t="s">
        <v>247</v>
      </c>
      <c r="K30" s="91" t="s">
        <v>248</v>
      </c>
      <c r="L30" s="102">
        <f>C30-'Adv fossil'!C70</f>
        <v>2</v>
      </c>
      <c r="M30" s="102">
        <f>D30-'Adv fossil'!D70</f>
        <v>2</v>
      </c>
      <c r="N30" s="102">
        <f>E30-'Adv fossil'!E70</f>
        <v>2</v>
      </c>
      <c r="O30" s="102">
        <f>F30-'Adv fossil'!F70</f>
        <v>2</v>
      </c>
      <c r="P30" s="102">
        <f>G30-'Adv fossil'!G70</f>
        <v>2</v>
      </c>
    </row>
    <row r="31" spans="1:23" ht="16.2" thickBot="1">
      <c r="A31" s="95" t="s">
        <v>249</v>
      </c>
      <c r="B31" s="98" t="s">
        <v>248</v>
      </c>
      <c r="C31" s="99">
        <v>4</v>
      </c>
      <c r="D31" s="99" t="s">
        <v>244</v>
      </c>
      <c r="E31" s="99" t="s">
        <v>244</v>
      </c>
      <c r="F31" s="99" t="s">
        <v>244</v>
      </c>
      <c r="G31" s="99" t="s">
        <v>244</v>
      </c>
      <c r="J31" s="94" t="s">
        <v>249</v>
      </c>
      <c r="K31" s="91" t="s">
        <v>248</v>
      </c>
    </row>
    <row r="32" spans="1:23" ht="15" thickBot="1">
      <c r="A32" s="95" t="s">
        <v>250</v>
      </c>
      <c r="B32" s="100">
        <v>1</v>
      </c>
      <c r="C32" s="101" t="s">
        <v>244</v>
      </c>
      <c r="D32" s="101" t="s">
        <v>244</v>
      </c>
      <c r="E32" s="101" t="s">
        <v>244</v>
      </c>
      <c r="F32" s="101" t="s">
        <v>244</v>
      </c>
      <c r="G32" s="101" t="s">
        <v>244</v>
      </c>
      <c r="J32" s="94" t="s">
        <v>250</v>
      </c>
    </row>
    <row r="33" spans="1:23" ht="15" thickBot="1">
      <c r="A33" s="409" t="s">
        <v>251</v>
      </c>
      <c r="B33" s="410"/>
      <c r="C33" s="410"/>
      <c r="D33" s="410"/>
      <c r="E33" s="410"/>
      <c r="F33" s="410"/>
      <c r="G33" s="411"/>
      <c r="J33" s="94" t="s">
        <v>251</v>
      </c>
      <c r="K33" s="94"/>
      <c r="L33" s="94"/>
      <c r="M33" s="94"/>
      <c r="N33" s="94"/>
      <c r="O33" s="94"/>
      <c r="P33" s="94"/>
    </row>
    <row r="34" spans="1:23" ht="29.4" thickBot="1">
      <c r="A34" s="95" t="s">
        <v>252</v>
      </c>
      <c r="B34" s="96" t="s">
        <v>253</v>
      </c>
      <c r="C34" s="97">
        <v>53</v>
      </c>
      <c r="D34" s="97">
        <v>50</v>
      </c>
      <c r="E34" s="97">
        <v>48</v>
      </c>
      <c r="F34" s="97">
        <v>48</v>
      </c>
      <c r="G34" s="97">
        <v>4</v>
      </c>
      <c r="J34" s="94" t="s">
        <v>252</v>
      </c>
      <c r="K34" s="91" t="s">
        <v>253</v>
      </c>
    </row>
    <row r="35" spans="1:23" ht="29.4" thickBot="1">
      <c r="A35" s="95" t="s">
        <v>254</v>
      </c>
      <c r="B35" s="98" t="s">
        <v>253</v>
      </c>
      <c r="C35" s="99">
        <v>85</v>
      </c>
      <c r="D35" s="99">
        <v>85</v>
      </c>
      <c r="E35" s="99">
        <v>77</v>
      </c>
      <c r="F35" s="99">
        <v>77</v>
      </c>
      <c r="G35" s="99">
        <v>75</v>
      </c>
      <c r="J35" s="94" t="s">
        <v>254</v>
      </c>
      <c r="K35" s="91" t="s">
        <v>253</v>
      </c>
    </row>
    <row r="36" spans="1:23" ht="15" thickBot="1">
      <c r="A36" s="95" t="s">
        <v>255</v>
      </c>
      <c r="B36" s="100" t="s">
        <v>256</v>
      </c>
      <c r="C36" s="101">
        <v>1450</v>
      </c>
      <c r="D36" s="101">
        <v>1400</v>
      </c>
      <c r="E36" s="101">
        <v>1320</v>
      </c>
      <c r="F36" s="101">
        <v>1320</v>
      </c>
      <c r="G36" s="101">
        <v>1295</v>
      </c>
      <c r="J36" s="94" t="s">
        <v>255</v>
      </c>
      <c r="K36" s="91" t="s">
        <v>256</v>
      </c>
    </row>
    <row r="37" spans="1:23" ht="15" thickBot="1">
      <c r="A37" s="95" t="s">
        <v>257</v>
      </c>
      <c r="B37" s="98" t="s">
        <v>256</v>
      </c>
      <c r="C37" s="99">
        <v>1900</v>
      </c>
      <c r="D37" s="99">
        <v>1840</v>
      </c>
      <c r="E37" s="99">
        <v>1740</v>
      </c>
      <c r="F37" s="99">
        <v>1740</v>
      </c>
      <c r="G37" s="99">
        <v>1700</v>
      </c>
      <c r="J37" s="94" t="s">
        <v>257</v>
      </c>
      <c r="K37" s="91" t="s">
        <v>256</v>
      </c>
    </row>
    <row r="38" spans="1:23" ht="15" thickBot="1">
      <c r="A38" s="409" t="s">
        <v>258</v>
      </c>
      <c r="B38" s="410"/>
      <c r="C38" s="410"/>
      <c r="D38" s="410"/>
      <c r="E38" s="410"/>
      <c r="F38" s="410"/>
      <c r="G38" s="411"/>
      <c r="J38" s="94" t="s">
        <v>258</v>
      </c>
      <c r="K38" s="94"/>
      <c r="L38" s="94"/>
      <c r="M38" s="94"/>
      <c r="N38" s="94"/>
      <c r="O38" s="94"/>
      <c r="P38" s="94"/>
    </row>
    <row r="39" spans="1:23" ht="15" thickBot="1">
      <c r="A39" s="105" t="s">
        <v>259</v>
      </c>
      <c r="B39" s="106" t="s">
        <v>260</v>
      </c>
      <c r="C39" s="173" t="s">
        <v>244</v>
      </c>
      <c r="D39" s="173" t="s">
        <v>244</v>
      </c>
      <c r="E39" s="173" t="s">
        <v>244</v>
      </c>
      <c r="F39" s="173" t="s">
        <v>244</v>
      </c>
      <c r="G39" s="173" t="s">
        <v>244</v>
      </c>
      <c r="J39" s="94" t="s">
        <v>259</v>
      </c>
      <c r="K39" s="91" t="s">
        <v>260</v>
      </c>
    </row>
    <row r="41" spans="1:23" ht="15" thickBot="1">
      <c r="A41" s="9" t="s">
        <v>261</v>
      </c>
      <c r="J41" s="91" t="str">
        <f>"Comparison between ADV fossil and "&amp;A41</f>
        <v>Comparison between ADV fossil and Pulverised coal supercritical CCS post-combustion</v>
      </c>
      <c r="S41" s="91" t="s">
        <v>294</v>
      </c>
    </row>
    <row r="42" spans="1:23" ht="15" thickBot="1">
      <c r="A42" s="92"/>
      <c r="B42" s="93" t="s">
        <v>46</v>
      </c>
      <c r="C42" s="93">
        <v>2013</v>
      </c>
      <c r="D42" s="93">
        <v>2020</v>
      </c>
      <c r="E42" s="93">
        <v>2030</v>
      </c>
      <c r="F42" s="93">
        <v>2040</v>
      </c>
      <c r="G42" s="93">
        <v>2050</v>
      </c>
      <c r="J42" s="94"/>
      <c r="K42" s="94" t="s">
        <v>46</v>
      </c>
      <c r="L42" s="94">
        <v>2013</v>
      </c>
      <c r="M42" s="94">
        <v>2020</v>
      </c>
      <c r="N42" s="94">
        <v>2030</v>
      </c>
      <c r="O42" s="94">
        <v>2040</v>
      </c>
      <c r="P42" s="94">
        <v>2050</v>
      </c>
      <c r="S42" s="94">
        <v>2013</v>
      </c>
      <c r="T42" s="94">
        <v>2020</v>
      </c>
      <c r="U42" s="94">
        <v>2030</v>
      </c>
      <c r="V42" s="94">
        <v>2040</v>
      </c>
      <c r="W42" s="94">
        <v>2050</v>
      </c>
    </row>
    <row r="43" spans="1:23" ht="15.6" thickTop="1" thickBot="1">
      <c r="A43" s="406" t="s">
        <v>224</v>
      </c>
      <c r="B43" s="407"/>
      <c r="C43" s="407"/>
      <c r="D43" s="407"/>
      <c r="E43" s="407"/>
      <c r="F43" s="407"/>
      <c r="G43" s="408"/>
      <c r="J43" s="94" t="s">
        <v>224</v>
      </c>
    </row>
    <row r="44" spans="1:23" ht="15" thickBot="1">
      <c r="A44" s="95" t="s">
        <v>225</v>
      </c>
      <c r="B44" s="96" t="s">
        <v>189</v>
      </c>
      <c r="C44" s="97">
        <v>630</v>
      </c>
      <c r="D44" s="97">
        <v>630</v>
      </c>
      <c r="E44" s="97">
        <v>630</v>
      </c>
      <c r="F44" s="97">
        <v>630</v>
      </c>
      <c r="G44" s="97">
        <v>630</v>
      </c>
      <c r="J44" s="94" t="s">
        <v>225</v>
      </c>
      <c r="K44" s="91" t="s">
        <v>189</v>
      </c>
    </row>
    <row r="45" spans="1:23" ht="15" thickBot="1">
      <c r="A45" s="95" t="s">
        <v>226</v>
      </c>
      <c r="B45" s="98" t="s">
        <v>189</v>
      </c>
      <c r="C45" s="99">
        <v>790</v>
      </c>
      <c r="D45" s="99">
        <v>790</v>
      </c>
      <c r="E45" s="99">
        <v>790</v>
      </c>
      <c r="F45" s="99">
        <v>790</v>
      </c>
      <c r="G45" s="99">
        <v>790</v>
      </c>
      <c r="J45" s="94" t="s">
        <v>226</v>
      </c>
      <c r="K45" s="91" t="s">
        <v>189</v>
      </c>
    </row>
    <row r="46" spans="1:23" ht="15" thickBot="1">
      <c r="A46" s="95" t="s">
        <v>227</v>
      </c>
      <c r="B46" s="100" t="s">
        <v>189</v>
      </c>
      <c r="C46" s="101">
        <v>1855</v>
      </c>
      <c r="D46" s="101">
        <v>1800</v>
      </c>
      <c r="E46" s="101">
        <v>1800</v>
      </c>
      <c r="F46" s="101">
        <v>1660</v>
      </c>
      <c r="G46" s="101">
        <v>1660</v>
      </c>
      <c r="J46" s="94" t="s">
        <v>227</v>
      </c>
      <c r="K46" s="91" t="s">
        <v>189</v>
      </c>
    </row>
    <row r="47" spans="1:23" ht="15" thickBot="1">
      <c r="A47" s="95" t="s">
        <v>228</v>
      </c>
      <c r="B47" s="98" t="s">
        <v>229</v>
      </c>
      <c r="C47" s="99">
        <v>90</v>
      </c>
      <c r="D47" s="99">
        <v>90</v>
      </c>
      <c r="E47" s="99">
        <v>90</v>
      </c>
      <c r="F47" s="99">
        <v>90</v>
      </c>
      <c r="G47" s="99">
        <v>90</v>
      </c>
      <c r="J47" s="94" t="s">
        <v>228</v>
      </c>
      <c r="K47" s="91" t="s">
        <v>229</v>
      </c>
      <c r="L47" s="91">
        <f>C47-'Adv fossil'!C85</f>
        <v>0</v>
      </c>
      <c r="M47" s="91">
        <f>D47-'Adv fossil'!D85</f>
        <v>0</v>
      </c>
      <c r="N47" s="91">
        <f>E47-'Adv fossil'!E85</f>
        <v>0</v>
      </c>
      <c r="O47" s="91">
        <f>F47-'Adv fossil'!F85</f>
        <v>0</v>
      </c>
      <c r="P47" s="91">
        <f>G47-'Adv fossil'!G85</f>
        <v>0</v>
      </c>
    </row>
    <row r="48" spans="1:23" ht="15" thickBot="1">
      <c r="A48" s="95" t="s">
        <v>230</v>
      </c>
      <c r="B48" s="100" t="s">
        <v>229</v>
      </c>
      <c r="C48" s="101">
        <v>85</v>
      </c>
      <c r="D48" s="101">
        <v>85</v>
      </c>
      <c r="E48" s="101">
        <v>85</v>
      </c>
      <c r="F48" s="101">
        <v>85</v>
      </c>
      <c r="G48" s="101">
        <v>85</v>
      </c>
      <c r="J48" s="94" t="s">
        <v>230</v>
      </c>
      <c r="K48" s="91" t="s">
        <v>229</v>
      </c>
      <c r="L48" s="91">
        <f>C48-'Adv fossil'!C86</f>
        <v>0</v>
      </c>
      <c r="M48" s="91">
        <f>D48-'Adv fossil'!D86</f>
        <v>0</v>
      </c>
      <c r="N48" s="91">
        <f>E48-'Adv fossil'!E86</f>
        <v>0</v>
      </c>
      <c r="O48" s="91">
        <f>F48-'Adv fossil'!F86</f>
        <v>0</v>
      </c>
      <c r="P48" s="91">
        <f>G48-'Adv fossil'!G86</f>
        <v>0</v>
      </c>
    </row>
    <row r="49" spans="1:23" ht="15" thickBot="1">
      <c r="A49" s="95" t="s">
        <v>231</v>
      </c>
      <c r="B49" s="98" t="s">
        <v>232</v>
      </c>
      <c r="C49" s="99">
        <v>40</v>
      </c>
      <c r="D49" s="99">
        <v>40</v>
      </c>
      <c r="E49" s="99">
        <v>40</v>
      </c>
      <c r="F49" s="99">
        <v>40</v>
      </c>
      <c r="G49" s="99">
        <v>40</v>
      </c>
      <c r="J49" s="94" t="s">
        <v>231</v>
      </c>
      <c r="K49" s="91" t="s">
        <v>232</v>
      </c>
      <c r="L49" s="91">
        <f>C49-'Adv fossil'!C87</f>
        <v>0</v>
      </c>
      <c r="M49" s="91">
        <f>D49-'Adv fossil'!D87</f>
        <v>0</v>
      </c>
      <c r="N49" s="91">
        <f>E49-'Adv fossil'!E87</f>
        <v>0</v>
      </c>
      <c r="O49" s="91">
        <f>F49-'Adv fossil'!F87</f>
        <v>0</v>
      </c>
      <c r="P49" s="91">
        <f>G49-'Adv fossil'!G87</f>
        <v>0</v>
      </c>
    </row>
    <row r="50" spans="1:23" ht="15" thickBot="1">
      <c r="A50" s="95" t="s">
        <v>233</v>
      </c>
      <c r="B50" s="100" t="s">
        <v>229</v>
      </c>
      <c r="C50" s="101">
        <v>34</v>
      </c>
      <c r="D50" s="101">
        <v>35</v>
      </c>
      <c r="E50" s="101">
        <v>35</v>
      </c>
      <c r="F50" s="101">
        <v>38</v>
      </c>
      <c r="G50" s="101">
        <v>38</v>
      </c>
      <c r="J50" s="94" t="s">
        <v>233</v>
      </c>
      <c r="K50" s="91" t="s">
        <v>229</v>
      </c>
      <c r="L50" s="91">
        <f>C50-'Adv fossil'!C88</f>
        <v>-11</v>
      </c>
      <c r="M50" s="91">
        <f>D50-'Adv fossil'!D88</f>
        <v>-11</v>
      </c>
      <c r="N50" s="91">
        <f>E50-'Adv fossil'!E88</f>
        <v>-13</v>
      </c>
      <c r="O50" s="91">
        <f>F50-'Adv fossil'!F88</f>
        <v>-10</v>
      </c>
      <c r="P50" s="91">
        <f>G50-'Adv fossil'!G88</f>
        <v>-10</v>
      </c>
      <c r="R50" s="91" t="s">
        <v>295</v>
      </c>
      <c r="S50" s="91">
        <f>-L50+C50</f>
        <v>45</v>
      </c>
      <c r="T50" s="91">
        <f>-M50+D50</f>
        <v>46</v>
      </c>
      <c r="U50" s="91">
        <f>-N50+E50</f>
        <v>48</v>
      </c>
      <c r="V50" s="91">
        <f>-O50+F50</f>
        <v>48</v>
      </c>
      <c r="W50" s="91">
        <f>-P50+G50</f>
        <v>48</v>
      </c>
    </row>
    <row r="51" spans="1:23" ht="27" thickBot="1">
      <c r="A51" s="95" t="s">
        <v>234</v>
      </c>
      <c r="B51" s="98" t="s">
        <v>229</v>
      </c>
      <c r="C51" s="99">
        <v>11</v>
      </c>
      <c r="D51" s="99">
        <v>11</v>
      </c>
      <c r="E51" s="99">
        <v>10</v>
      </c>
      <c r="F51" s="99">
        <v>10</v>
      </c>
      <c r="G51" s="99">
        <v>10</v>
      </c>
      <c r="J51" s="94" t="s">
        <v>234</v>
      </c>
      <c r="K51" s="91" t="s">
        <v>229</v>
      </c>
      <c r="L51" s="91">
        <f>C51</f>
        <v>11</v>
      </c>
      <c r="M51" s="91">
        <f>D51</f>
        <v>11</v>
      </c>
      <c r="N51" s="91">
        <f>E51</f>
        <v>10</v>
      </c>
      <c r="O51" s="91">
        <f>F51</f>
        <v>10</v>
      </c>
      <c r="P51" s="91">
        <f>G51</f>
        <v>10</v>
      </c>
      <c r="R51" s="91" t="s">
        <v>296</v>
      </c>
      <c r="S51" s="91">
        <f>L51</f>
        <v>11</v>
      </c>
      <c r="T51" s="91">
        <f>M51</f>
        <v>11</v>
      </c>
      <c r="U51" s="91">
        <f>N51</f>
        <v>10</v>
      </c>
      <c r="V51" s="91">
        <f>O51</f>
        <v>10</v>
      </c>
      <c r="W51" s="91">
        <f>P51</f>
        <v>10</v>
      </c>
    </row>
    <row r="52" spans="1:23" ht="29.4" thickBot="1">
      <c r="A52" s="95" t="s">
        <v>235</v>
      </c>
      <c r="B52" s="100" t="s">
        <v>229</v>
      </c>
      <c r="C52" s="101">
        <v>87</v>
      </c>
      <c r="D52" s="101">
        <v>87</v>
      </c>
      <c r="E52" s="101">
        <v>87</v>
      </c>
      <c r="F52" s="101">
        <v>87</v>
      </c>
      <c r="G52" s="101">
        <v>87</v>
      </c>
      <c r="J52" s="94" t="s">
        <v>235</v>
      </c>
      <c r="K52" s="91" t="s">
        <v>229</v>
      </c>
      <c r="R52" s="91" t="s">
        <v>297</v>
      </c>
      <c r="S52" s="91">
        <f>S51/S50</f>
        <v>0.24444444444444444</v>
      </c>
      <c r="T52" s="91">
        <f>T51/T50</f>
        <v>0.2391304347826087</v>
      </c>
      <c r="U52" s="91">
        <f>U51/U50</f>
        <v>0.20833333333333334</v>
      </c>
      <c r="V52" s="91">
        <f>V51/V50</f>
        <v>0.20833333333333334</v>
      </c>
      <c r="W52" s="91">
        <f>W51/W50</f>
        <v>0.20833333333333334</v>
      </c>
    </row>
    <row r="53" spans="1:23" ht="15" thickBot="1">
      <c r="A53" s="409" t="s">
        <v>236</v>
      </c>
      <c r="B53" s="410"/>
      <c r="C53" s="410"/>
      <c r="D53" s="410"/>
      <c r="E53" s="410"/>
      <c r="F53" s="410"/>
      <c r="G53" s="411"/>
      <c r="J53" s="94" t="s">
        <v>236</v>
      </c>
      <c r="K53" s="94"/>
      <c r="L53" s="94"/>
      <c r="M53" s="94"/>
      <c r="N53" s="94"/>
      <c r="O53" s="94"/>
      <c r="P53" s="94"/>
    </row>
    <row r="54" spans="1:23" ht="16.2" thickBot="1">
      <c r="A54" s="95" t="s">
        <v>237</v>
      </c>
      <c r="B54" s="96" t="s">
        <v>238</v>
      </c>
      <c r="C54" s="97">
        <v>3000</v>
      </c>
      <c r="D54" s="97">
        <v>2700</v>
      </c>
      <c r="E54" s="97">
        <v>2550</v>
      </c>
      <c r="F54" s="97">
        <v>2550</v>
      </c>
      <c r="G54" s="97">
        <v>2550</v>
      </c>
      <c r="J54" s="94" t="s">
        <v>237</v>
      </c>
      <c r="K54" s="91" t="s">
        <v>238</v>
      </c>
      <c r="L54" s="102">
        <f>C54-'Adv fossil'!C90</f>
        <v>1400</v>
      </c>
      <c r="M54" s="102">
        <f>D54-'Adv fossil'!D90</f>
        <v>1100</v>
      </c>
      <c r="N54" s="102">
        <f>E54-'Adv fossil'!E90</f>
        <v>950</v>
      </c>
      <c r="O54" s="102">
        <f>F54-'Adv fossil'!F90</f>
        <v>950</v>
      </c>
      <c r="P54" s="102">
        <f>G54-'Adv fossil'!G90</f>
        <v>950</v>
      </c>
    </row>
    <row r="55" spans="1:23" ht="16.2" thickBot="1">
      <c r="A55" s="95" t="s">
        <v>239</v>
      </c>
      <c r="B55" s="98" t="s">
        <v>238</v>
      </c>
      <c r="C55" s="99">
        <v>2600</v>
      </c>
      <c r="D55" s="99">
        <v>2340</v>
      </c>
      <c r="E55" s="99">
        <v>2210</v>
      </c>
      <c r="F55" s="99">
        <v>2210</v>
      </c>
      <c r="G55" s="99">
        <v>2210</v>
      </c>
      <c r="J55" s="94" t="s">
        <v>239</v>
      </c>
      <c r="K55" s="91" t="s">
        <v>238</v>
      </c>
      <c r="L55" s="102">
        <f>C55-'Adv fossil'!C91</f>
        <v>1050</v>
      </c>
      <c r="M55" s="102">
        <f>D55-'Adv fossil'!D91</f>
        <v>790</v>
      </c>
      <c r="N55" s="102">
        <f>E55-'Adv fossil'!E91</f>
        <v>660</v>
      </c>
      <c r="O55" s="102">
        <f>F55-'Adv fossil'!F91</f>
        <v>660</v>
      </c>
      <c r="P55" s="102">
        <f>G55-'Adv fossil'!G91</f>
        <v>660</v>
      </c>
    </row>
    <row r="56" spans="1:23" ht="16.2" thickBot="1">
      <c r="A56" s="95" t="s">
        <v>240</v>
      </c>
      <c r="B56" s="100" t="s">
        <v>238</v>
      </c>
      <c r="C56" s="101">
        <v>3350</v>
      </c>
      <c r="D56" s="101">
        <v>3020</v>
      </c>
      <c r="E56" s="101">
        <v>2850</v>
      </c>
      <c r="F56" s="101">
        <v>2850</v>
      </c>
      <c r="G56" s="101">
        <v>2850</v>
      </c>
      <c r="J56" s="94" t="s">
        <v>240</v>
      </c>
      <c r="K56" s="91" t="s">
        <v>238</v>
      </c>
      <c r="L56" s="102">
        <f>C56-'Adv fossil'!C92</f>
        <v>1650</v>
      </c>
      <c r="M56" s="102">
        <f>D56-'Adv fossil'!D92</f>
        <v>1320</v>
      </c>
      <c r="N56" s="102">
        <f>E56-'Adv fossil'!E92</f>
        <v>1150</v>
      </c>
      <c r="O56" s="102">
        <f>F56-'Adv fossil'!F92</f>
        <v>1150</v>
      </c>
      <c r="P56" s="102">
        <f>G56-'Adv fossil'!G92</f>
        <v>1150</v>
      </c>
    </row>
    <row r="57" spans="1:23" ht="27" thickBot="1">
      <c r="A57" s="95" t="s">
        <v>241</v>
      </c>
      <c r="B57" s="98"/>
      <c r="C57" s="412" t="s">
        <v>242</v>
      </c>
      <c r="D57" s="413"/>
      <c r="E57" s="413"/>
      <c r="F57" s="413"/>
      <c r="G57" s="414"/>
      <c r="J57" s="94" t="s">
        <v>241</v>
      </c>
      <c r="L57" s="91" t="s">
        <v>242</v>
      </c>
    </row>
    <row r="58" spans="1:23" ht="15" thickBot="1">
      <c r="A58" s="95" t="s">
        <v>243</v>
      </c>
      <c r="B58" s="100" t="s">
        <v>229</v>
      </c>
      <c r="C58" s="101">
        <v>2</v>
      </c>
      <c r="D58" s="101" t="s">
        <v>244</v>
      </c>
      <c r="E58" s="101" t="s">
        <v>244</v>
      </c>
      <c r="F58" s="101" t="s">
        <v>244</v>
      </c>
      <c r="G58" s="101" t="s">
        <v>244</v>
      </c>
      <c r="J58" s="94" t="s">
        <v>243</v>
      </c>
      <c r="K58" s="91" t="s">
        <v>229</v>
      </c>
      <c r="L58" s="91" t="s">
        <v>244</v>
      </c>
      <c r="M58" s="91" t="s">
        <v>244</v>
      </c>
      <c r="N58" s="91" t="s">
        <v>244</v>
      </c>
      <c r="O58" s="91" t="s">
        <v>244</v>
      </c>
      <c r="P58" s="91" t="s">
        <v>244</v>
      </c>
    </row>
    <row r="59" spans="1:23" ht="27" thickBot="1">
      <c r="A59" s="95" t="s">
        <v>245</v>
      </c>
      <c r="B59" s="98" t="s">
        <v>246</v>
      </c>
      <c r="C59" s="99">
        <v>2.5</v>
      </c>
      <c r="D59" s="99">
        <v>2.5</v>
      </c>
      <c r="E59" s="99">
        <v>2.5</v>
      </c>
      <c r="F59" s="99">
        <v>2.5</v>
      </c>
      <c r="G59" s="99">
        <v>2.5</v>
      </c>
      <c r="J59" s="94" t="s">
        <v>245</v>
      </c>
      <c r="K59" s="103" t="s">
        <v>246</v>
      </c>
      <c r="L59" s="104">
        <f>C59-'Adv fossil'!C95</f>
        <v>0</v>
      </c>
      <c r="M59" s="104">
        <f>D59-'Adv fossil'!D95</f>
        <v>0</v>
      </c>
      <c r="N59" s="104">
        <f>E59-'Adv fossil'!E95</f>
        <v>0</v>
      </c>
      <c r="O59" s="104">
        <f>F59-'Adv fossil'!F95</f>
        <v>0</v>
      </c>
      <c r="P59" s="104">
        <f>G59-'Adv fossil'!G95</f>
        <v>0</v>
      </c>
    </row>
    <row r="60" spans="1:23" ht="16.2" thickBot="1">
      <c r="A60" s="95" t="s">
        <v>247</v>
      </c>
      <c r="B60" s="100" t="s">
        <v>248</v>
      </c>
      <c r="C60" s="101">
        <v>5.5</v>
      </c>
      <c r="D60" s="101">
        <v>5.5</v>
      </c>
      <c r="E60" s="101">
        <v>5.5</v>
      </c>
      <c r="F60" s="101">
        <v>5.5</v>
      </c>
      <c r="G60" s="101">
        <v>5.5</v>
      </c>
      <c r="J60" s="94" t="s">
        <v>247</v>
      </c>
      <c r="K60" s="91" t="s">
        <v>248</v>
      </c>
      <c r="L60" s="102">
        <f>C60-'Adv fossil'!C97</f>
        <v>1.9</v>
      </c>
      <c r="M60" s="102">
        <f>D60-'Adv fossil'!D97</f>
        <v>1.9</v>
      </c>
      <c r="N60" s="102">
        <f>E60-'Adv fossil'!E97</f>
        <v>1.9</v>
      </c>
      <c r="O60" s="102">
        <f>F60-'Adv fossil'!F97</f>
        <v>1.9</v>
      </c>
      <c r="P60" s="102">
        <f>G60-'Adv fossil'!G97</f>
        <v>1.9</v>
      </c>
    </row>
    <row r="61" spans="1:23" ht="16.2" thickBot="1">
      <c r="A61" s="95" t="s">
        <v>249</v>
      </c>
      <c r="B61" s="98" t="s">
        <v>248</v>
      </c>
      <c r="C61" s="99">
        <v>7</v>
      </c>
      <c r="D61" s="99" t="s">
        <v>244</v>
      </c>
      <c r="E61" s="99" t="s">
        <v>244</v>
      </c>
      <c r="F61" s="99" t="s">
        <v>244</v>
      </c>
      <c r="G61" s="99" t="s">
        <v>244</v>
      </c>
      <c r="J61" s="94" t="s">
        <v>249</v>
      </c>
      <c r="K61" s="91" t="s">
        <v>248</v>
      </c>
    </row>
    <row r="62" spans="1:23" ht="15" thickBot="1">
      <c r="A62" s="95" t="s">
        <v>250</v>
      </c>
      <c r="B62" s="100">
        <v>1</v>
      </c>
      <c r="C62" s="101">
        <v>270</v>
      </c>
      <c r="D62" s="101">
        <v>270</v>
      </c>
      <c r="E62" s="101">
        <v>270</v>
      </c>
      <c r="F62" s="101">
        <v>270</v>
      </c>
      <c r="G62" s="101">
        <v>270</v>
      </c>
      <c r="J62" s="94" t="s">
        <v>250</v>
      </c>
    </row>
    <row r="63" spans="1:23" ht="15" thickBot="1">
      <c r="A63" s="409" t="s">
        <v>251</v>
      </c>
      <c r="B63" s="410"/>
      <c r="C63" s="410"/>
      <c r="D63" s="410"/>
      <c r="E63" s="410"/>
      <c r="F63" s="410"/>
      <c r="G63" s="411"/>
      <c r="J63" s="94" t="s">
        <v>251</v>
      </c>
      <c r="K63" s="94"/>
      <c r="L63" s="94"/>
      <c r="M63" s="94"/>
      <c r="N63" s="94"/>
      <c r="O63" s="94"/>
      <c r="P63" s="94"/>
    </row>
    <row r="64" spans="1:23" ht="29.4" thickBot="1">
      <c r="A64" s="95" t="s">
        <v>252</v>
      </c>
      <c r="B64" s="96" t="s">
        <v>253</v>
      </c>
      <c r="C64" s="97">
        <v>110</v>
      </c>
      <c r="D64" s="97">
        <v>105</v>
      </c>
      <c r="E64" s="97">
        <v>105</v>
      </c>
      <c r="F64" s="97">
        <v>95</v>
      </c>
      <c r="G64" s="97">
        <v>95</v>
      </c>
      <c r="J64" s="94" t="s">
        <v>252</v>
      </c>
      <c r="K64" s="91" t="s">
        <v>253</v>
      </c>
    </row>
    <row r="65" spans="1:16" ht="29.4" thickBot="1">
      <c r="A65" s="95" t="s">
        <v>254</v>
      </c>
      <c r="B65" s="98" t="s">
        <v>253</v>
      </c>
      <c r="C65" s="99">
        <v>125</v>
      </c>
      <c r="D65" s="99">
        <v>120</v>
      </c>
      <c r="E65" s="99">
        <v>120</v>
      </c>
      <c r="F65" s="99">
        <v>115</v>
      </c>
      <c r="G65" s="99">
        <v>115</v>
      </c>
      <c r="J65" s="94" t="s">
        <v>254</v>
      </c>
      <c r="K65" s="91" t="s">
        <v>253</v>
      </c>
    </row>
    <row r="66" spans="1:16" ht="15" thickBot="1">
      <c r="A66" s="95" t="s">
        <v>255</v>
      </c>
      <c r="B66" s="100" t="s">
        <v>256</v>
      </c>
      <c r="C66" s="101">
        <v>3210</v>
      </c>
      <c r="D66" s="101">
        <v>3210</v>
      </c>
      <c r="E66" s="101">
        <v>3120</v>
      </c>
      <c r="F66" s="101">
        <v>2875</v>
      </c>
      <c r="G66" s="101">
        <v>2875</v>
      </c>
      <c r="J66" s="94" t="s">
        <v>255</v>
      </c>
      <c r="K66" s="91" t="s">
        <v>256</v>
      </c>
    </row>
    <row r="67" spans="1:16" ht="15" thickBot="1">
      <c r="A67" s="95" t="s">
        <v>257</v>
      </c>
      <c r="B67" s="98" t="s">
        <v>256</v>
      </c>
      <c r="C67" s="99">
        <v>4170</v>
      </c>
      <c r="D67" s="99">
        <v>4050</v>
      </c>
      <c r="E67" s="99">
        <v>4050</v>
      </c>
      <c r="F67" s="99">
        <v>3750</v>
      </c>
      <c r="G67" s="99">
        <v>3750</v>
      </c>
      <c r="J67" s="94" t="s">
        <v>257</v>
      </c>
      <c r="K67" s="91" t="s">
        <v>256</v>
      </c>
    </row>
    <row r="68" spans="1:16" ht="15" thickBot="1">
      <c r="A68" s="409" t="s">
        <v>258</v>
      </c>
      <c r="B68" s="410"/>
      <c r="C68" s="410"/>
      <c r="D68" s="410"/>
      <c r="E68" s="410"/>
      <c r="F68" s="410"/>
      <c r="G68" s="411"/>
      <c r="J68" s="94" t="s">
        <v>258</v>
      </c>
      <c r="K68" s="94"/>
      <c r="L68" s="94"/>
      <c r="M68" s="94"/>
      <c r="N68" s="94"/>
      <c r="O68" s="94"/>
      <c r="P68" s="94"/>
    </row>
    <row r="69" spans="1:16" ht="15" thickBot="1">
      <c r="A69" s="105" t="s">
        <v>262</v>
      </c>
      <c r="B69" s="106" t="s">
        <v>260</v>
      </c>
      <c r="C69" s="173" t="s">
        <v>244</v>
      </c>
      <c r="D69" s="173" t="s">
        <v>244</v>
      </c>
      <c r="E69" s="173" t="s">
        <v>244</v>
      </c>
      <c r="F69" s="173" t="s">
        <v>244</v>
      </c>
      <c r="G69" s="173" t="s">
        <v>244</v>
      </c>
      <c r="J69" s="94" t="s">
        <v>259</v>
      </c>
      <c r="K69" s="91" t="s">
        <v>260</v>
      </c>
      <c r="L69" s="91" t="s">
        <v>244</v>
      </c>
      <c r="M69" s="91" t="s">
        <v>244</v>
      </c>
      <c r="N69" s="91" t="s">
        <v>244</v>
      </c>
      <c r="O69" s="91" t="s">
        <v>244</v>
      </c>
      <c r="P69" s="91" t="s">
        <v>244</v>
      </c>
    </row>
    <row r="70" spans="1:16" hidden="1"/>
    <row r="71" spans="1:16" hidden="1">
      <c r="A71" s="9" t="s">
        <v>263</v>
      </c>
      <c r="J71" s="91" t="str">
        <f>"Comparison between ADV fossil and "&amp;A71</f>
        <v>Comparison between ADV fossil and Fluidised bed lignite CCS post combustion</v>
      </c>
    </row>
    <row r="72" spans="1:16" ht="15" hidden="1" thickBot="1">
      <c r="A72" s="92"/>
      <c r="B72" s="93" t="s">
        <v>46</v>
      </c>
      <c r="C72" s="93">
        <v>2013</v>
      </c>
      <c r="D72" s="93">
        <v>2020</v>
      </c>
      <c r="E72" s="93">
        <v>2030</v>
      </c>
      <c r="F72" s="93">
        <v>2040</v>
      </c>
      <c r="G72" s="93">
        <v>2050</v>
      </c>
      <c r="J72" s="94"/>
      <c r="K72" s="94" t="s">
        <v>46</v>
      </c>
      <c r="L72" s="94">
        <v>2013</v>
      </c>
      <c r="M72" s="94">
        <v>2020</v>
      </c>
      <c r="N72" s="94">
        <v>2030</v>
      </c>
      <c r="O72" s="94">
        <v>2040</v>
      </c>
      <c r="P72" s="94">
        <v>2050</v>
      </c>
    </row>
    <row r="73" spans="1:16" ht="15.6" hidden="1" thickTop="1" thickBot="1">
      <c r="A73" s="406" t="s">
        <v>224</v>
      </c>
      <c r="B73" s="407"/>
      <c r="C73" s="407"/>
      <c r="D73" s="407"/>
      <c r="E73" s="407"/>
      <c r="F73" s="407"/>
      <c r="G73" s="408"/>
      <c r="J73" s="94" t="s">
        <v>224</v>
      </c>
    </row>
    <row r="74" spans="1:16" ht="15" hidden="1" thickBot="1">
      <c r="A74" s="95" t="s">
        <v>225</v>
      </c>
      <c r="B74" s="96" t="s">
        <v>189</v>
      </c>
      <c r="C74" s="97">
        <v>480</v>
      </c>
      <c r="D74" s="97">
        <v>480</v>
      </c>
      <c r="E74" s="97">
        <v>480</v>
      </c>
      <c r="F74" s="97">
        <v>480</v>
      </c>
      <c r="G74" s="97">
        <v>480</v>
      </c>
      <c r="J74" s="94" t="s">
        <v>225</v>
      </c>
      <c r="K74" s="91" t="s">
        <v>189</v>
      </c>
    </row>
    <row r="75" spans="1:16" ht="15" hidden="1" thickBot="1">
      <c r="A75" s="95" t="s">
        <v>226</v>
      </c>
      <c r="B75" s="98" t="s">
        <v>189</v>
      </c>
      <c r="C75" s="99">
        <v>580</v>
      </c>
      <c r="D75" s="99">
        <v>580</v>
      </c>
      <c r="E75" s="99">
        <v>580</v>
      </c>
      <c r="F75" s="99">
        <v>580</v>
      </c>
      <c r="G75" s="99">
        <v>580</v>
      </c>
      <c r="J75" s="94" t="s">
        <v>226</v>
      </c>
      <c r="K75" s="91" t="s">
        <v>189</v>
      </c>
    </row>
    <row r="76" spans="1:16" ht="15" hidden="1" thickBot="1">
      <c r="A76" s="95" t="s">
        <v>227</v>
      </c>
      <c r="B76" s="100" t="s">
        <v>189</v>
      </c>
      <c r="C76" s="101">
        <v>1550</v>
      </c>
      <c r="D76" s="101">
        <v>1500</v>
      </c>
      <c r="E76" s="101">
        <v>1410</v>
      </c>
      <c r="F76" s="101">
        <v>1410</v>
      </c>
      <c r="G76" s="101">
        <v>1410</v>
      </c>
      <c r="J76" s="94" t="s">
        <v>227</v>
      </c>
      <c r="K76" s="91" t="s">
        <v>189</v>
      </c>
    </row>
    <row r="77" spans="1:16" ht="15" hidden="1" thickBot="1">
      <c r="A77" s="95" t="s">
        <v>228</v>
      </c>
      <c r="B77" s="98" t="s">
        <v>229</v>
      </c>
      <c r="C77" s="99">
        <v>85</v>
      </c>
      <c r="D77" s="99">
        <v>85</v>
      </c>
      <c r="E77" s="99">
        <v>85</v>
      </c>
      <c r="F77" s="99">
        <v>85</v>
      </c>
      <c r="G77" s="99">
        <v>85</v>
      </c>
      <c r="J77" s="94" t="s">
        <v>228</v>
      </c>
      <c r="K77" s="91" t="s">
        <v>229</v>
      </c>
      <c r="L77" s="91">
        <f>C77-'Adv fossil'!C141</f>
        <v>0</v>
      </c>
      <c r="M77" s="91">
        <f>D77-'Adv fossil'!D141</f>
        <v>0</v>
      </c>
      <c r="N77" s="91">
        <f>E77-'Adv fossil'!E141</f>
        <v>0</v>
      </c>
      <c r="O77" s="91">
        <f>F77-'Adv fossil'!F141</f>
        <v>0</v>
      </c>
      <c r="P77" s="91">
        <f>G77-'Adv fossil'!G141</f>
        <v>0</v>
      </c>
    </row>
    <row r="78" spans="1:16" ht="15" hidden="1" thickBot="1">
      <c r="A78" s="95" t="s">
        <v>230</v>
      </c>
      <c r="B78" s="100" t="s">
        <v>229</v>
      </c>
      <c r="C78" s="101">
        <v>85</v>
      </c>
      <c r="D78" s="101">
        <v>85</v>
      </c>
      <c r="E78" s="101">
        <v>85</v>
      </c>
      <c r="F78" s="101">
        <v>85</v>
      </c>
      <c r="G78" s="101">
        <v>85</v>
      </c>
      <c r="J78" s="94" t="s">
        <v>230</v>
      </c>
      <c r="K78" s="91" t="s">
        <v>229</v>
      </c>
      <c r="L78" s="91">
        <f>C78-'Adv fossil'!C142</f>
        <v>0</v>
      </c>
      <c r="M78" s="91">
        <f>D78-'Adv fossil'!D142</f>
        <v>0</v>
      </c>
      <c r="N78" s="91">
        <f>E78-'Adv fossil'!E142</f>
        <v>0</v>
      </c>
      <c r="O78" s="91">
        <f>F78-'Adv fossil'!F142</f>
        <v>0</v>
      </c>
      <c r="P78" s="91">
        <f>G78-'Adv fossil'!G142</f>
        <v>0</v>
      </c>
    </row>
    <row r="79" spans="1:16" ht="15" hidden="1" thickBot="1">
      <c r="A79" s="95" t="s">
        <v>231</v>
      </c>
      <c r="B79" s="98" t="s">
        <v>232</v>
      </c>
      <c r="C79" s="99">
        <v>40</v>
      </c>
      <c r="D79" s="99">
        <v>40</v>
      </c>
      <c r="E79" s="99">
        <v>40</v>
      </c>
      <c r="F79" s="99">
        <v>40</v>
      </c>
      <c r="G79" s="99">
        <v>40</v>
      </c>
      <c r="J79" s="94" t="s">
        <v>231</v>
      </c>
      <c r="K79" s="91" t="s">
        <v>232</v>
      </c>
      <c r="L79" s="91">
        <f>C79-'Adv fossil'!C143</f>
        <v>0</v>
      </c>
      <c r="M79" s="91">
        <f>D79-'Adv fossil'!D143</f>
        <v>0</v>
      </c>
      <c r="N79" s="91">
        <f>E79-'Adv fossil'!E143</f>
        <v>0</v>
      </c>
      <c r="O79" s="91">
        <f>F79-'Adv fossil'!F143</f>
        <v>0</v>
      </c>
      <c r="P79" s="91">
        <f>G79-'Adv fossil'!G143</f>
        <v>0</v>
      </c>
    </row>
    <row r="80" spans="1:16" ht="15" hidden="1" thickBot="1">
      <c r="A80" s="95" t="s">
        <v>233</v>
      </c>
      <c r="B80" s="100" t="s">
        <v>229</v>
      </c>
      <c r="C80" s="101">
        <v>31</v>
      </c>
      <c r="D80" s="101">
        <v>32</v>
      </c>
      <c r="E80" s="101">
        <v>34</v>
      </c>
      <c r="F80" s="101">
        <v>34</v>
      </c>
      <c r="G80" s="101">
        <v>34</v>
      </c>
      <c r="J80" s="94" t="s">
        <v>233</v>
      </c>
      <c r="K80" s="91" t="s">
        <v>229</v>
      </c>
      <c r="L80" s="91">
        <f>C80-'Adv fossil'!C144</f>
        <v>-11</v>
      </c>
      <c r="M80" s="91">
        <f>D80-'Adv fossil'!D144</f>
        <v>-11</v>
      </c>
      <c r="N80" s="91">
        <f>E80-'Adv fossil'!E144</f>
        <v>-11</v>
      </c>
      <c r="O80" s="91">
        <f>F80-'Adv fossil'!F144</f>
        <v>-11</v>
      </c>
      <c r="P80" s="91">
        <f>G80-'Adv fossil'!G144</f>
        <v>-11</v>
      </c>
    </row>
    <row r="81" spans="1:16" ht="27" hidden="1" thickBot="1">
      <c r="A81" s="95" t="s">
        <v>234</v>
      </c>
      <c r="B81" s="98" t="s">
        <v>229</v>
      </c>
      <c r="C81" s="99">
        <v>10</v>
      </c>
      <c r="D81" s="99">
        <v>11</v>
      </c>
      <c r="E81" s="99">
        <v>11</v>
      </c>
      <c r="F81" s="99">
        <v>11</v>
      </c>
      <c r="G81" s="99">
        <v>11</v>
      </c>
      <c r="J81" s="94" t="s">
        <v>234</v>
      </c>
      <c r="K81" s="91" t="s">
        <v>229</v>
      </c>
      <c r="L81" s="91">
        <f>C81</f>
        <v>10</v>
      </c>
      <c r="M81" s="91">
        <f>D81</f>
        <v>11</v>
      </c>
      <c r="N81" s="91">
        <f>E81</f>
        <v>11</v>
      </c>
      <c r="O81" s="91">
        <f>F81</f>
        <v>11</v>
      </c>
      <c r="P81" s="91">
        <f>G81</f>
        <v>11</v>
      </c>
    </row>
    <row r="82" spans="1:16" ht="29.4" hidden="1" thickBot="1">
      <c r="A82" s="95" t="s">
        <v>235</v>
      </c>
      <c r="B82" s="100" t="s">
        <v>229</v>
      </c>
      <c r="C82" s="101">
        <v>87</v>
      </c>
      <c r="D82" s="101">
        <v>87</v>
      </c>
      <c r="E82" s="101">
        <v>87</v>
      </c>
      <c r="F82" s="101">
        <v>87</v>
      </c>
      <c r="G82" s="101">
        <v>87</v>
      </c>
      <c r="J82" s="94" t="s">
        <v>235</v>
      </c>
      <c r="K82" s="91" t="s">
        <v>229</v>
      </c>
    </row>
    <row r="83" spans="1:16" ht="15" hidden="1" thickBot="1">
      <c r="A83" s="409" t="s">
        <v>236</v>
      </c>
      <c r="B83" s="410"/>
      <c r="C83" s="410"/>
      <c r="D83" s="410"/>
      <c r="E83" s="410"/>
      <c r="F83" s="410"/>
      <c r="G83" s="411"/>
      <c r="J83" s="94" t="s">
        <v>236</v>
      </c>
      <c r="K83" s="94"/>
      <c r="L83" s="94"/>
      <c r="M83" s="94"/>
      <c r="N83" s="94"/>
      <c r="O83" s="94"/>
      <c r="P83" s="94"/>
    </row>
    <row r="84" spans="1:16" ht="16.2" hidden="1" thickBot="1">
      <c r="A84" s="95" t="s">
        <v>237</v>
      </c>
      <c r="B84" s="96" t="s">
        <v>238</v>
      </c>
      <c r="C84" s="97">
        <v>3500</v>
      </c>
      <c r="D84" s="97">
        <v>3500</v>
      </c>
      <c r="E84" s="97">
        <v>3500</v>
      </c>
      <c r="F84" s="97">
        <v>3500</v>
      </c>
      <c r="G84" s="97">
        <v>3500</v>
      </c>
      <c r="J84" s="94" t="s">
        <v>237</v>
      </c>
      <c r="K84" s="91" t="s">
        <v>238</v>
      </c>
      <c r="L84" s="102">
        <f>C84-'Adv fossil'!C146</f>
        <v>1600</v>
      </c>
      <c r="M84" s="102">
        <f>D84-'Adv fossil'!D146</f>
        <v>1600</v>
      </c>
      <c r="N84" s="102">
        <f>E84-'Adv fossil'!E146</f>
        <v>1600</v>
      </c>
      <c r="O84" s="102">
        <f>F84-'Adv fossil'!F146</f>
        <v>1600</v>
      </c>
      <c r="P84" s="102">
        <f>G84-'Adv fossil'!G146</f>
        <v>1600</v>
      </c>
    </row>
    <row r="85" spans="1:16" ht="16.2" hidden="1" thickBot="1">
      <c r="A85" s="95" t="s">
        <v>239</v>
      </c>
      <c r="B85" s="98" t="s">
        <v>238</v>
      </c>
      <c r="C85" s="99">
        <v>2975</v>
      </c>
      <c r="D85" s="99">
        <v>2975</v>
      </c>
      <c r="E85" s="99">
        <v>2975</v>
      </c>
      <c r="F85" s="99">
        <v>2975</v>
      </c>
      <c r="G85" s="99">
        <v>2975</v>
      </c>
      <c r="J85" s="94" t="s">
        <v>239</v>
      </c>
      <c r="K85" s="91" t="s">
        <v>238</v>
      </c>
      <c r="L85" s="102">
        <f>C85-'Adv fossil'!C147</f>
        <v>1360</v>
      </c>
      <c r="M85" s="102">
        <f>D85-'Adv fossil'!D147</f>
        <v>1360</v>
      </c>
      <c r="N85" s="102">
        <f>E85-'Adv fossil'!E147</f>
        <v>1360</v>
      </c>
      <c r="O85" s="102">
        <f>F85-'Adv fossil'!F147</f>
        <v>1360</v>
      </c>
      <c r="P85" s="102">
        <f>G85-'Adv fossil'!G147</f>
        <v>1360</v>
      </c>
    </row>
    <row r="86" spans="1:16" ht="16.2" hidden="1" thickBot="1">
      <c r="A86" s="95" t="s">
        <v>240</v>
      </c>
      <c r="B86" s="100" t="s">
        <v>238</v>
      </c>
      <c r="C86" s="101">
        <v>4200</v>
      </c>
      <c r="D86" s="101">
        <v>4200</v>
      </c>
      <c r="E86" s="101">
        <v>4200</v>
      </c>
      <c r="F86" s="101">
        <v>4200</v>
      </c>
      <c r="G86" s="101">
        <v>4200</v>
      </c>
      <c r="J86" s="94" t="s">
        <v>240</v>
      </c>
      <c r="K86" s="91" t="s">
        <v>238</v>
      </c>
      <c r="L86" s="102">
        <f>C86-'Adv fossil'!C148</f>
        <v>1920</v>
      </c>
      <c r="M86" s="102">
        <f>D86-'Adv fossil'!D148</f>
        <v>1920</v>
      </c>
      <c r="N86" s="102">
        <f>E86-'Adv fossil'!E148</f>
        <v>1920</v>
      </c>
      <c r="O86" s="102">
        <f>F86-'Adv fossil'!F148</f>
        <v>1920</v>
      </c>
      <c r="P86" s="102">
        <f>G86-'Adv fossil'!G148</f>
        <v>1920</v>
      </c>
    </row>
    <row r="87" spans="1:16" ht="27" hidden="1" thickBot="1">
      <c r="A87" s="95" t="s">
        <v>241</v>
      </c>
      <c r="B87" s="98"/>
      <c r="C87" s="412" t="s">
        <v>242</v>
      </c>
      <c r="D87" s="413"/>
      <c r="E87" s="413"/>
      <c r="F87" s="413"/>
      <c r="G87" s="414"/>
      <c r="J87" s="94" t="s">
        <v>241</v>
      </c>
      <c r="L87" s="91" t="s">
        <v>242</v>
      </c>
    </row>
    <row r="88" spans="1:16" ht="15" hidden="1" thickBot="1">
      <c r="A88" s="95" t="s">
        <v>243</v>
      </c>
      <c r="B88" s="100" t="s">
        <v>229</v>
      </c>
      <c r="C88" s="101" t="s">
        <v>244</v>
      </c>
      <c r="D88" s="101"/>
      <c r="E88" s="101"/>
      <c r="F88" s="101"/>
      <c r="G88" s="101"/>
      <c r="J88" s="94" t="s">
        <v>243</v>
      </c>
      <c r="K88" s="91" t="s">
        <v>229</v>
      </c>
      <c r="L88" s="91" t="s">
        <v>244</v>
      </c>
      <c r="M88" s="91" t="s">
        <v>244</v>
      </c>
      <c r="N88" s="91" t="s">
        <v>244</v>
      </c>
      <c r="O88" s="91" t="s">
        <v>244</v>
      </c>
      <c r="P88" s="91" t="s">
        <v>244</v>
      </c>
    </row>
    <row r="89" spans="1:16" ht="27" hidden="1" thickBot="1">
      <c r="A89" s="95" t="s">
        <v>245</v>
      </c>
      <c r="B89" s="98" t="s">
        <v>246</v>
      </c>
      <c r="C89" s="99">
        <v>2.5</v>
      </c>
      <c r="D89" s="99">
        <v>2.5</v>
      </c>
      <c r="E89" s="99">
        <v>2.5</v>
      </c>
      <c r="F89" s="99">
        <v>2.5</v>
      </c>
      <c r="G89" s="99">
        <v>2.5</v>
      </c>
      <c r="J89" s="94" t="s">
        <v>245</v>
      </c>
      <c r="K89" s="103" t="s">
        <v>246</v>
      </c>
      <c r="L89" s="104">
        <f>C89-'Adv fossil'!C151</f>
        <v>0.5</v>
      </c>
      <c r="M89" s="104">
        <f>D89-'Adv fossil'!D151</f>
        <v>0.5</v>
      </c>
      <c r="N89" s="104">
        <f>E89-'Adv fossil'!E151</f>
        <v>0.5</v>
      </c>
      <c r="O89" s="104">
        <f>F89-'Adv fossil'!F151</f>
        <v>0.5</v>
      </c>
      <c r="P89" s="104">
        <f>G89-'Adv fossil'!G151</f>
        <v>0.5</v>
      </c>
    </row>
    <row r="90" spans="1:16" ht="16.2" hidden="1" thickBot="1">
      <c r="A90" s="95" t="s">
        <v>247</v>
      </c>
      <c r="B90" s="100" t="s">
        <v>248</v>
      </c>
      <c r="C90" s="101">
        <v>10</v>
      </c>
      <c r="D90" s="101">
        <v>10</v>
      </c>
      <c r="E90" s="101">
        <v>10</v>
      </c>
      <c r="F90" s="101">
        <v>10</v>
      </c>
      <c r="G90" s="101">
        <v>10</v>
      </c>
      <c r="J90" s="94" t="s">
        <v>247</v>
      </c>
      <c r="K90" s="91" t="s">
        <v>248</v>
      </c>
      <c r="L90" s="102">
        <f>C90-'Adv fossil'!C152</f>
        <v>4</v>
      </c>
      <c r="M90" s="102">
        <f>D90-'Adv fossil'!D152</f>
        <v>4</v>
      </c>
      <c r="N90" s="102">
        <f>E90-'Adv fossil'!E152</f>
        <v>4</v>
      </c>
      <c r="O90" s="102">
        <f>F90-'Adv fossil'!F152</f>
        <v>4</v>
      </c>
      <c r="P90" s="102">
        <f>G90-'Adv fossil'!G152</f>
        <v>4</v>
      </c>
    </row>
    <row r="91" spans="1:16" ht="16.2" hidden="1" thickBot="1">
      <c r="A91" s="95" t="s">
        <v>249</v>
      </c>
      <c r="B91" s="98" t="s">
        <v>248</v>
      </c>
      <c r="C91" s="99">
        <v>8.5</v>
      </c>
      <c r="D91" s="99" t="s">
        <v>244</v>
      </c>
      <c r="E91" s="99" t="s">
        <v>244</v>
      </c>
      <c r="F91" s="99" t="s">
        <v>244</v>
      </c>
      <c r="G91" s="99" t="s">
        <v>244</v>
      </c>
      <c r="J91" s="94" t="s">
        <v>249</v>
      </c>
      <c r="K91" s="91" t="s">
        <v>248</v>
      </c>
    </row>
    <row r="92" spans="1:16" ht="15" hidden="1" thickBot="1">
      <c r="A92" s="95" t="s">
        <v>250</v>
      </c>
      <c r="B92" s="100">
        <v>1</v>
      </c>
      <c r="C92" s="101">
        <v>200</v>
      </c>
      <c r="D92" s="101">
        <v>200</v>
      </c>
      <c r="E92" s="101">
        <v>200</v>
      </c>
      <c r="F92" s="101">
        <v>200</v>
      </c>
      <c r="G92" s="101">
        <v>200</v>
      </c>
      <c r="J92" s="94" t="s">
        <v>250</v>
      </c>
    </row>
    <row r="93" spans="1:16" ht="15" hidden="1" thickBot="1">
      <c r="A93" s="409" t="s">
        <v>251</v>
      </c>
      <c r="B93" s="410"/>
      <c r="C93" s="410"/>
      <c r="D93" s="410"/>
      <c r="E93" s="410"/>
      <c r="F93" s="410"/>
      <c r="G93" s="411"/>
      <c r="J93" s="94" t="s">
        <v>251</v>
      </c>
      <c r="K93" s="94"/>
      <c r="L93" s="94"/>
      <c r="M93" s="94"/>
      <c r="N93" s="94"/>
      <c r="O93" s="94"/>
      <c r="P93" s="94"/>
    </row>
    <row r="94" spans="1:16" ht="29.4" hidden="1" thickBot="1">
      <c r="A94" s="95" t="s">
        <v>252</v>
      </c>
      <c r="B94" s="96" t="s">
        <v>253</v>
      </c>
      <c r="C94" s="97">
        <v>140</v>
      </c>
      <c r="D94" s="97">
        <v>135</v>
      </c>
      <c r="E94" s="97">
        <v>130</v>
      </c>
      <c r="F94" s="97">
        <v>130</v>
      </c>
      <c r="G94" s="97">
        <v>130</v>
      </c>
      <c r="J94" s="94" t="s">
        <v>252</v>
      </c>
      <c r="K94" s="91" t="s">
        <v>253</v>
      </c>
    </row>
    <row r="95" spans="1:16" ht="29.4" hidden="1" thickBot="1">
      <c r="A95" s="95" t="s">
        <v>254</v>
      </c>
      <c r="B95" s="98" t="s">
        <v>253</v>
      </c>
      <c r="C95" s="99">
        <v>165</v>
      </c>
      <c r="D95" s="99">
        <v>160</v>
      </c>
      <c r="E95" s="99">
        <v>150</v>
      </c>
      <c r="F95" s="99">
        <v>150</v>
      </c>
      <c r="G95" s="99">
        <v>150</v>
      </c>
      <c r="J95" s="94" t="s">
        <v>254</v>
      </c>
      <c r="K95" s="91" t="s">
        <v>253</v>
      </c>
    </row>
    <row r="96" spans="1:16" ht="15" hidden="1" thickBot="1">
      <c r="A96" s="95" t="s">
        <v>255</v>
      </c>
      <c r="B96" s="100" t="s">
        <v>256</v>
      </c>
      <c r="C96" s="101">
        <v>2370</v>
      </c>
      <c r="D96" s="101">
        <v>2300</v>
      </c>
      <c r="E96" s="101">
        <v>2165</v>
      </c>
      <c r="F96" s="101">
        <v>2165</v>
      </c>
      <c r="G96" s="101">
        <v>2165</v>
      </c>
      <c r="J96" s="94" t="s">
        <v>255</v>
      </c>
      <c r="K96" s="91" t="s">
        <v>256</v>
      </c>
    </row>
    <row r="97" spans="1:23" ht="15" hidden="1" thickBot="1">
      <c r="A97" s="95" t="s">
        <v>257</v>
      </c>
      <c r="B97" s="98" t="s">
        <v>256</v>
      </c>
      <c r="C97" s="99">
        <v>3300</v>
      </c>
      <c r="D97" s="99">
        <v>3200</v>
      </c>
      <c r="E97" s="99">
        <v>3010</v>
      </c>
      <c r="F97" s="99">
        <v>3010</v>
      </c>
      <c r="G97" s="99">
        <v>3010</v>
      </c>
      <c r="J97" s="94" t="s">
        <v>257</v>
      </c>
      <c r="K97" s="91" t="s">
        <v>256</v>
      </c>
    </row>
    <row r="98" spans="1:23" ht="15" hidden="1" thickBot="1">
      <c r="A98" s="409" t="s">
        <v>258</v>
      </c>
      <c r="B98" s="410"/>
      <c r="C98" s="410"/>
      <c r="D98" s="410"/>
      <c r="E98" s="410"/>
      <c r="F98" s="410"/>
      <c r="G98" s="411"/>
      <c r="J98" s="94" t="s">
        <v>258</v>
      </c>
      <c r="K98" s="94"/>
      <c r="L98" s="94"/>
      <c r="M98" s="94"/>
      <c r="N98" s="94"/>
      <c r="O98" s="94"/>
      <c r="P98" s="94"/>
    </row>
    <row r="99" spans="1:23" ht="15" hidden="1" thickBot="1">
      <c r="A99" s="105" t="s">
        <v>262</v>
      </c>
      <c r="B99" s="106" t="s">
        <v>260</v>
      </c>
      <c r="C99" s="173" t="s">
        <v>244</v>
      </c>
      <c r="D99" s="173" t="s">
        <v>244</v>
      </c>
      <c r="E99" s="173" t="s">
        <v>244</v>
      </c>
      <c r="F99" s="173" t="s">
        <v>244</v>
      </c>
      <c r="G99" s="173" t="s">
        <v>244</v>
      </c>
      <c r="J99" s="94" t="s">
        <v>259</v>
      </c>
      <c r="K99" s="91" t="s">
        <v>260</v>
      </c>
      <c r="L99" s="91" t="s">
        <v>244</v>
      </c>
      <c r="M99" s="91" t="s">
        <v>244</v>
      </c>
      <c r="N99" s="91" t="s">
        <v>244</v>
      </c>
      <c r="O99" s="91" t="s">
        <v>244</v>
      </c>
      <c r="P99" s="91" t="s">
        <v>244</v>
      </c>
    </row>
    <row r="101" spans="1:23" ht="15" thickBot="1">
      <c r="A101" s="9" t="s">
        <v>264</v>
      </c>
      <c r="J101" s="91" t="str">
        <f>"Comparison between ADV fossil and "&amp;A101</f>
        <v>Comparison between ADV fossil and Pulverised coal supercritical CCS oxyfuel.</v>
      </c>
      <c r="S101" s="91" t="s">
        <v>294</v>
      </c>
    </row>
    <row r="102" spans="1:23" ht="15" thickBot="1">
      <c r="A102" s="92"/>
      <c r="B102" s="93" t="s">
        <v>46</v>
      </c>
      <c r="C102" s="93">
        <v>2013</v>
      </c>
      <c r="D102" s="93">
        <v>2020</v>
      </c>
      <c r="E102" s="93">
        <v>2030</v>
      </c>
      <c r="F102" s="93">
        <v>2040</v>
      </c>
      <c r="G102" s="93">
        <v>2050</v>
      </c>
      <c r="J102" s="94"/>
      <c r="K102" s="94" t="s">
        <v>46</v>
      </c>
      <c r="L102" s="94">
        <v>2013</v>
      </c>
      <c r="M102" s="94">
        <v>2020</v>
      </c>
      <c r="N102" s="94">
        <v>2030</v>
      </c>
      <c r="O102" s="94">
        <v>2040</v>
      </c>
      <c r="P102" s="94">
        <v>2050</v>
      </c>
      <c r="S102" s="94">
        <v>2013</v>
      </c>
      <c r="T102" s="94">
        <v>2020</v>
      </c>
      <c r="U102" s="94">
        <v>2030</v>
      </c>
      <c r="V102" s="94">
        <v>2040</v>
      </c>
      <c r="W102" s="94">
        <v>2050</v>
      </c>
    </row>
    <row r="103" spans="1:23" ht="15.6" thickTop="1" thickBot="1">
      <c r="A103" s="406" t="s">
        <v>224</v>
      </c>
      <c r="B103" s="407"/>
      <c r="C103" s="407"/>
      <c r="D103" s="407"/>
      <c r="E103" s="407"/>
      <c r="F103" s="407"/>
      <c r="G103" s="408"/>
      <c r="J103" s="94" t="s">
        <v>224</v>
      </c>
    </row>
    <row r="104" spans="1:23" ht="15" thickBot="1">
      <c r="A104" s="95" t="s">
        <v>225</v>
      </c>
      <c r="B104" s="96" t="s">
        <v>189</v>
      </c>
      <c r="C104" s="97">
        <v>580</v>
      </c>
      <c r="D104" s="97">
        <v>580</v>
      </c>
      <c r="E104" s="97">
        <v>580</v>
      </c>
      <c r="F104" s="97">
        <v>580</v>
      </c>
      <c r="G104" s="97">
        <v>580</v>
      </c>
      <c r="J104" s="94" t="s">
        <v>225</v>
      </c>
      <c r="K104" s="91" t="s">
        <v>189</v>
      </c>
    </row>
    <row r="105" spans="1:23" ht="15" thickBot="1">
      <c r="A105" s="95" t="s">
        <v>226</v>
      </c>
      <c r="B105" s="98" t="s">
        <v>189</v>
      </c>
      <c r="C105" s="99">
        <v>790</v>
      </c>
      <c r="D105" s="99">
        <v>790</v>
      </c>
      <c r="E105" s="99">
        <v>790</v>
      </c>
      <c r="F105" s="99">
        <v>790</v>
      </c>
      <c r="G105" s="99">
        <v>790</v>
      </c>
      <c r="J105" s="94" t="s">
        <v>226</v>
      </c>
      <c r="K105" s="91" t="s">
        <v>189</v>
      </c>
    </row>
    <row r="106" spans="1:23" ht="15" thickBot="1">
      <c r="A106" s="95" t="s">
        <v>227</v>
      </c>
      <c r="B106" s="100" t="s">
        <v>189</v>
      </c>
      <c r="C106" s="101">
        <v>1615</v>
      </c>
      <c r="D106" s="101">
        <v>1570</v>
      </c>
      <c r="E106" s="101">
        <v>1490</v>
      </c>
      <c r="F106" s="101">
        <v>1450</v>
      </c>
      <c r="G106" s="101">
        <v>1450</v>
      </c>
      <c r="J106" s="94" t="s">
        <v>227</v>
      </c>
      <c r="K106" s="91" t="s">
        <v>189</v>
      </c>
    </row>
    <row r="107" spans="1:23" ht="15" thickBot="1">
      <c r="A107" s="95" t="s">
        <v>228</v>
      </c>
      <c r="B107" s="98" t="s">
        <v>229</v>
      </c>
      <c r="C107" s="99">
        <v>90</v>
      </c>
      <c r="D107" s="99">
        <v>90</v>
      </c>
      <c r="E107" s="99">
        <v>90</v>
      </c>
      <c r="F107" s="99">
        <v>90</v>
      </c>
      <c r="G107" s="99">
        <v>90</v>
      </c>
      <c r="J107" s="94" t="s">
        <v>228</v>
      </c>
      <c r="K107" s="91" t="s">
        <v>229</v>
      </c>
      <c r="L107" s="91">
        <f>C107-'Adv fossil'!C85</f>
        <v>0</v>
      </c>
      <c r="M107" s="91">
        <f>D107-'Adv fossil'!D85</f>
        <v>0</v>
      </c>
      <c r="N107" s="91">
        <f>E107-'Adv fossil'!E85</f>
        <v>0</v>
      </c>
      <c r="O107" s="91">
        <f>F107-'Adv fossil'!F85</f>
        <v>0</v>
      </c>
      <c r="P107" s="91">
        <f>G107-'Adv fossil'!G85</f>
        <v>0</v>
      </c>
    </row>
    <row r="108" spans="1:23" ht="15" thickBot="1">
      <c r="A108" s="95" t="s">
        <v>230</v>
      </c>
      <c r="B108" s="100" t="s">
        <v>229</v>
      </c>
      <c r="C108" s="101">
        <v>85</v>
      </c>
      <c r="D108" s="101">
        <v>85</v>
      </c>
      <c r="E108" s="101">
        <v>85</v>
      </c>
      <c r="F108" s="101">
        <v>85</v>
      </c>
      <c r="G108" s="101">
        <v>85</v>
      </c>
      <c r="J108" s="94" t="s">
        <v>230</v>
      </c>
      <c r="K108" s="91" t="s">
        <v>229</v>
      </c>
      <c r="L108" s="91">
        <f>C108-'Adv fossil'!C86</f>
        <v>0</v>
      </c>
      <c r="M108" s="91">
        <f>D108-'Adv fossil'!D86</f>
        <v>0</v>
      </c>
      <c r="N108" s="91">
        <f>E108-'Adv fossil'!E86</f>
        <v>0</v>
      </c>
      <c r="O108" s="91">
        <f>F108-'Adv fossil'!F86</f>
        <v>0</v>
      </c>
      <c r="P108" s="91">
        <f>G108-'Adv fossil'!G86</f>
        <v>0</v>
      </c>
    </row>
    <row r="109" spans="1:23" ht="15" thickBot="1">
      <c r="A109" s="95" t="s">
        <v>231</v>
      </c>
      <c r="B109" s="98" t="s">
        <v>232</v>
      </c>
      <c r="C109" s="99">
        <v>40</v>
      </c>
      <c r="D109" s="99">
        <v>40</v>
      </c>
      <c r="E109" s="99">
        <v>40</v>
      </c>
      <c r="F109" s="99">
        <v>40</v>
      </c>
      <c r="G109" s="99">
        <v>40</v>
      </c>
      <c r="J109" s="94" t="s">
        <v>231</v>
      </c>
      <c r="K109" s="91" t="s">
        <v>232</v>
      </c>
      <c r="L109" s="91">
        <f>C109-'Adv fossil'!C87</f>
        <v>0</v>
      </c>
      <c r="M109" s="91">
        <f>D109-'Adv fossil'!D87</f>
        <v>0</v>
      </c>
      <c r="N109" s="91">
        <f>E109-'Adv fossil'!E87</f>
        <v>0</v>
      </c>
      <c r="O109" s="91">
        <f>F109-'Adv fossil'!F87</f>
        <v>0</v>
      </c>
      <c r="P109" s="91">
        <f>G109-'Adv fossil'!G87</f>
        <v>0</v>
      </c>
    </row>
    <row r="110" spans="1:23" ht="15" thickBot="1">
      <c r="A110" s="95" t="s">
        <v>233</v>
      </c>
      <c r="B110" s="100" t="s">
        <v>229</v>
      </c>
      <c r="C110" s="101">
        <v>36</v>
      </c>
      <c r="D110" s="101">
        <v>37</v>
      </c>
      <c r="E110" s="101">
        <v>39</v>
      </c>
      <c r="F110" s="101">
        <v>40</v>
      </c>
      <c r="G110" s="101">
        <v>40</v>
      </c>
      <c r="J110" s="94" t="s">
        <v>233</v>
      </c>
      <c r="K110" s="91" t="s">
        <v>229</v>
      </c>
      <c r="L110" s="91">
        <f>C110-'Adv fossil'!C88</f>
        <v>-9</v>
      </c>
      <c r="M110" s="91">
        <f>D110-'Adv fossil'!D88</f>
        <v>-9</v>
      </c>
      <c r="N110" s="91">
        <f>E110-'Adv fossil'!E88</f>
        <v>-9</v>
      </c>
      <c r="O110" s="91">
        <f>F110-'Adv fossil'!F88</f>
        <v>-8</v>
      </c>
      <c r="P110" s="91">
        <f>G110-'Adv fossil'!G88</f>
        <v>-8</v>
      </c>
      <c r="R110" s="91" t="s">
        <v>295</v>
      </c>
      <c r="S110" s="91">
        <f>-L110+C110</f>
        <v>45</v>
      </c>
      <c r="T110" s="91">
        <f>-M110+D110</f>
        <v>46</v>
      </c>
      <c r="U110" s="91">
        <f>-N110+E110</f>
        <v>48</v>
      </c>
      <c r="V110" s="91">
        <f>-O110+F110</f>
        <v>48</v>
      </c>
      <c r="W110" s="91">
        <f>-P110+G110</f>
        <v>48</v>
      </c>
    </row>
    <row r="111" spans="1:23" ht="27" thickBot="1">
      <c r="A111" s="95" t="s">
        <v>234</v>
      </c>
      <c r="B111" s="98" t="s">
        <v>229</v>
      </c>
      <c r="C111" s="99">
        <v>9</v>
      </c>
      <c r="D111" s="99">
        <v>9</v>
      </c>
      <c r="E111" s="99">
        <v>9</v>
      </c>
      <c r="F111" s="99">
        <v>9</v>
      </c>
      <c r="G111" s="99">
        <v>9</v>
      </c>
      <c r="J111" s="94" t="s">
        <v>234</v>
      </c>
      <c r="K111" s="91" t="s">
        <v>229</v>
      </c>
      <c r="L111" s="91">
        <f>C111</f>
        <v>9</v>
      </c>
      <c r="M111" s="91">
        <f>D111</f>
        <v>9</v>
      </c>
      <c r="N111" s="91">
        <f>E111</f>
        <v>9</v>
      </c>
      <c r="O111" s="91">
        <f>F111</f>
        <v>9</v>
      </c>
      <c r="P111" s="91">
        <f>G111</f>
        <v>9</v>
      </c>
      <c r="R111" s="91" t="s">
        <v>296</v>
      </c>
      <c r="S111" s="91">
        <f>L111</f>
        <v>9</v>
      </c>
      <c r="T111" s="91">
        <f>M111</f>
        <v>9</v>
      </c>
      <c r="U111" s="91">
        <f>N111</f>
        <v>9</v>
      </c>
      <c r="V111" s="91">
        <f>O111</f>
        <v>9</v>
      </c>
      <c r="W111" s="91">
        <f>P111</f>
        <v>9</v>
      </c>
    </row>
    <row r="112" spans="1:23" ht="29.4" thickBot="1">
      <c r="A112" s="95" t="s">
        <v>235</v>
      </c>
      <c r="B112" s="100" t="s">
        <v>229</v>
      </c>
      <c r="C112" s="101">
        <v>90</v>
      </c>
      <c r="D112" s="101">
        <v>90</v>
      </c>
      <c r="E112" s="101">
        <v>90</v>
      </c>
      <c r="F112" s="101">
        <v>90</v>
      </c>
      <c r="G112" s="101">
        <v>90</v>
      </c>
      <c r="J112" s="94" t="s">
        <v>235</v>
      </c>
      <c r="K112" s="91" t="s">
        <v>229</v>
      </c>
      <c r="R112" s="91" t="s">
        <v>297</v>
      </c>
      <c r="S112" s="91">
        <f>S111/S110</f>
        <v>0.2</v>
      </c>
      <c r="T112" s="91">
        <f>T111/T110</f>
        <v>0.19565217391304349</v>
      </c>
      <c r="U112" s="91">
        <f>U111/U110</f>
        <v>0.1875</v>
      </c>
      <c r="V112" s="91">
        <f>V111/V110</f>
        <v>0.1875</v>
      </c>
      <c r="W112" s="91">
        <f>W111/W110</f>
        <v>0.1875</v>
      </c>
    </row>
    <row r="113" spans="1:16" ht="15" thickBot="1">
      <c r="A113" s="409" t="s">
        <v>236</v>
      </c>
      <c r="B113" s="410"/>
      <c r="C113" s="410"/>
      <c r="D113" s="410"/>
      <c r="E113" s="410"/>
      <c r="F113" s="410"/>
      <c r="G113" s="411"/>
      <c r="J113" s="94" t="s">
        <v>236</v>
      </c>
      <c r="K113" s="94"/>
      <c r="L113" s="94"/>
      <c r="M113" s="94"/>
      <c r="N113" s="94"/>
      <c r="O113" s="94"/>
      <c r="P113" s="94"/>
    </row>
    <row r="114" spans="1:16" ht="16.2" thickBot="1">
      <c r="A114" s="95" t="s">
        <v>237</v>
      </c>
      <c r="B114" s="96" t="s">
        <v>238</v>
      </c>
      <c r="C114" s="97">
        <v>3000</v>
      </c>
      <c r="D114" s="97">
        <v>2700</v>
      </c>
      <c r="E114" s="97">
        <v>2550</v>
      </c>
      <c r="F114" s="97">
        <v>2550</v>
      </c>
      <c r="G114" s="97">
        <v>2550</v>
      </c>
      <c r="J114" s="94" t="s">
        <v>237</v>
      </c>
      <c r="K114" s="91" t="s">
        <v>238</v>
      </c>
      <c r="L114" s="102">
        <f>C114-'Adv fossil'!C90</f>
        <v>1400</v>
      </c>
      <c r="M114" s="102">
        <f>D114-'Adv fossil'!D90</f>
        <v>1100</v>
      </c>
      <c r="N114" s="102">
        <f>E114-'Adv fossil'!E90</f>
        <v>950</v>
      </c>
      <c r="O114" s="102">
        <f>F114-'Adv fossil'!F90</f>
        <v>950</v>
      </c>
      <c r="P114" s="102">
        <f>G114-'Adv fossil'!G90</f>
        <v>950</v>
      </c>
    </row>
    <row r="115" spans="1:16" ht="16.2" thickBot="1">
      <c r="A115" s="95" t="s">
        <v>239</v>
      </c>
      <c r="B115" s="98" t="s">
        <v>238</v>
      </c>
      <c r="C115" s="99">
        <v>2600</v>
      </c>
      <c r="D115" s="99">
        <v>2340</v>
      </c>
      <c r="E115" s="99">
        <v>2210</v>
      </c>
      <c r="F115" s="99">
        <v>2210</v>
      </c>
      <c r="G115" s="99">
        <v>2210</v>
      </c>
      <c r="J115" s="94" t="s">
        <v>239</v>
      </c>
      <c r="K115" s="91" t="s">
        <v>238</v>
      </c>
      <c r="L115" s="102">
        <f>C115-'Adv fossil'!C91</f>
        <v>1050</v>
      </c>
      <c r="M115" s="102">
        <f>D115-'Adv fossil'!D91</f>
        <v>790</v>
      </c>
      <c r="N115" s="102">
        <f>E115-'Adv fossil'!E91</f>
        <v>660</v>
      </c>
      <c r="O115" s="102">
        <f>F115-'Adv fossil'!F91</f>
        <v>660</v>
      </c>
      <c r="P115" s="102">
        <f>G115-'Adv fossil'!G91</f>
        <v>660</v>
      </c>
    </row>
    <row r="116" spans="1:16" ht="16.2" thickBot="1">
      <c r="A116" s="95" t="s">
        <v>240</v>
      </c>
      <c r="B116" s="100" t="s">
        <v>238</v>
      </c>
      <c r="C116" s="101">
        <v>3400</v>
      </c>
      <c r="D116" s="101">
        <v>3060</v>
      </c>
      <c r="E116" s="101">
        <v>2890</v>
      </c>
      <c r="F116" s="101">
        <v>2890</v>
      </c>
      <c r="G116" s="101">
        <v>2890</v>
      </c>
      <c r="J116" s="94" t="s">
        <v>240</v>
      </c>
      <c r="K116" s="91" t="s">
        <v>238</v>
      </c>
      <c r="L116" s="102">
        <f>C116-'Adv fossil'!C92</f>
        <v>1700</v>
      </c>
      <c r="M116" s="102">
        <f>D116-'Adv fossil'!D92</f>
        <v>1360</v>
      </c>
      <c r="N116" s="102">
        <f>E116-'Adv fossil'!E92</f>
        <v>1190</v>
      </c>
      <c r="O116" s="102">
        <f>F116-'Adv fossil'!F92</f>
        <v>1190</v>
      </c>
      <c r="P116" s="102">
        <f>G116-'Adv fossil'!G92</f>
        <v>1190</v>
      </c>
    </row>
    <row r="117" spans="1:16" ht="27" thickBot="1">
      <c r="A117" s="95" t="s">
        <v>241</v>
      </c>
      <c r="B117" s="98"/>
      <c r="C117" s="412" t="s">
        <v>242</v>
      </c>
      <c r="D117" s="413"/>
      <c r="E117" s="413"/>
      <c r="F117" s="413"/>
      <c r="G117" s="414"/>
      <c r="J117" s="94" t="s">
        <v>241</v>
      </c>
      <c r="L117" s="91" t="s">
        <v>242</v>
      </c>
    </row>
    <row r="118" spans="1:16" ht="15" thickBot="1">
      <c r="A118" s="95" t="s">
        <v>243</v>
      </c>
      <c r="B118" s="100" t="s">
        <v>229</v>
      </c>
      <c r="C118" s="101" t="s">
        <v>244</v>
      </c>
      <c r="D118" s="101" t="s">
        <v>244</v>
      </c>
      <c r="E118" s="101" t="s">
        <v>244</v>
      </c>
      <c r="F118" s="101" t="s">
        <v>244</v>
      </c>
      <c r="G118" s="101" t="s">
        <v>244</v>
      </c>
      <c r="J118" s="94" t="s">
        <v>243</v>
      </c>
      <c r="K118" s="91" t="s">
        <v>229</v>
      </c>
      <c r="L118" s="91" t="s">
        <v>244</v>
      </c>
      <c r="M118" s="91" t="s">
        <v>244</v>
      </c>
      <c r="N118" s="91" t="s">
        <v>244</v>
      </c>
      <c r="O118" s="91" t="s">
        <v>244</v>
      </c>
      <c r="P118" s="91" t="s">
        <v>244</v>
      </c>
    </row>
    <row r="119" spans="1:16" ht="27" thickBot="1">
      <c r="A119" s="95" t="s">
        <v>245</v>
      </c>
      <c r="B119" s="98" t="s">
        <v>246</v>
      </c>
      <c r="C119" s="99">
        <v>2.5</v>
      </c>
      <c r="D119" s="99">
        <v>2.5</v>
      </c>
      <c r="E119" s="99">
        <v>2.5</v>
      </c>
      <c r="F119" s="99">
        <v>2.5</v>
      </c>
      <c r="G119" s="99">
        <v>2.5</v>
      </c>
      <c r="J119" s="94" t="s">
        <v>245</v>
      </c>
      <c r="K119" s="103" t="s">
        <v>246</v>
      </c>
      <c r="L119" s="104">
        <f>C119-'Adv fossil'!C95</f>
        <v>0</v>
      </c>
      <c r="M119" s="104">
        <f>D119-'Adv fossil'!D95</f>
        <v>0</v>
      </c>
      <c r="N119" s="104">
        <f>E119-'Adv fossil'!E95</f>
        <v>0</v>
      </c>
      <c r="O119" s="104">
        <f>F119-'Adv fossil'!F95</f>
        <v>0</v>
      </c>
      <c r="P119" s="104">
        <f>G119-'Adv fossil'!G95</f>
        <v>0</v>
      </c>
    </row>
    <row r="120" spans="1:16" ht="16.2" thickBot="1">
      <c r="A120" s="95" t="s">
        <v>265</v>
      </c>
      <c r="B120" s="100" t="s">
        <v>229</v>
      </c>
      <c r="C120" s="101">
        <v>2</v>
      </c>
      <c r="D120" s="101">
        <v>2</v>
      </c>
      <c r="E120" s="101" t="s">
        <v>244</v>
      </c>
      <c r="F120" s="101" t="s">
        <v>244</v>
      </c>
      <c r="G120" s="101" t="s">
        <v>244</v>
      </c>
      <c r="J120" s="94" t="s">
        <v>247</v>
      </c>
      <c r="K120" s="91" t="s">
        <v>248</v>
      </c>
      <c r="L120" s="102">
        <f>C121-'Adv fossil'!C97</f>
        <v>-0.60000000000000009</v>
      </c>
      <c r="M120" s="102">
        <f>D121-'Adv fossil'!D97</f>
        <v>-0.60000000000000009</v>
      </c>
      <c r="N120" s="102">
        <f>E121-'Adv fossil'!E97</f>
        <v>-0.60000000000000009</v>
      </c>
      <c r="O120" s="102">
        <f>F121-'Adv fossil'!F97</f>
        <v>-0.60000000000000009</v>
      </c>
      <c r="P120" s="102">
        <f>G121-'Adv fossil'!G97</f>
        <v>-0.60000000000000009</v>
      </c>
    </row>
    <row r="121" spans="1:16" ht="16.2" thickBot="1">
      <c r="A121" s="95" t="s">
        <v>247</v>
      </c>
      <c r="B121" s="98" t="s">
        <v>248</v>
      </c>
      <c r="C121" s="99">
        <v>3</v>
      </c>
      <c r="D121" s="99">
        <v>3</v>
      </c>
      <c r="E121" s="99">
        <v>3</v>
      </c>
      <c r="F121" s="99">
        <v>3</v>
      </c>
      <c r="G121" s="99">
        <v>3</v>
      </c>
      <c r="J121" s="94" t="s">
        <v>249</v>
      </c>
      <c r="K121" s="91" t="s">
        <v>248</v>
      </c>
    </row>
    <row r="122" spans="1:16" ht="16.2" thickBot="1">
      <c r="A122" s="95" t="s">
        <v>249</v>
      </c>
      <c r="B122" s="100" t="s">
        <v>248</v>
      </c>
      <c r="C122" s="101">
        <v>15</v>
      </c>
      <c r="D122" s="101" t="s">
        <v>244</v>
      </c>
      <c r="E122" s="101" t="s">
        <v>244</v>
      </c>
      <c r="F122" s="101" t="s">
        <v>244</v>
      </c>
      <c r="G122" s="101" t="s">
        <v>244</v>
      </c>
      <c r="J122" s="94" t="s">
        <v>250</v>
      </c>
    </row>
    <row r="123" spans="1:16" ht="15" thickBot="1">
      <c r="A123" s="95" t="s">
        <v>250</v>
      </c>
      <c r="B123" s="98">
        <v>1</v>
      </c>
      <c r="C123" s="99">
        <v>260</v>
      </c>
      <c r="D123" s="99">
        <v>260</v>
      </c>
      <c r="E123" s="99">
        <v>260</v>
      </c>
      <c r="F123" s="99">
        <v>260</v>
      </c>
      <c r="G123" s="99">
        <v>260</v>
      </c>
      <c r="J123" s="94" t="s">
        <v>251</v>
      </c>
      <c r="K123" s="94"/>
      <c r="L123" s="94"/>
      <c r="M123" s="94"/>
      <c r="N123" s="94"/>
      <c r="O123" s="94"/>
      <c r="P123" s="94"/>
    </row>
    <row r="124" spans="1:16" ht="16.2" thickBot="1">
      <c r="A124" s="409" t="s">
        <v>251</v>
      </c>
      <c r="B124" s="410"/>
      <c r="C124" s="410"/>
      <c r="D124" s="410"/>
      <c r="E124" s="410"/>
      <c r="F124" s="410"/>
      <c r="G124" s="411"/>
      <c r="J124" s="94" t="s">
        <v>252</v>
      </c>
      <c r="K124" s="91" t="s">
        <v>253</v>
      </c>
    </row>
    <row r="125" spans="1:16" ht="29.4" thickBot="1">
      <c r="A125" s="95" t="s">
        <v>252</v>
      </c>
      <c r="B125" s="106" t="s">
        <v>253</v>
      </c>
      <c r="C125" s="173">
        <v>90</v>
      </c>
      <c r="D125" s="173">
        <v>87</v>
      </c>
      <c r="E125" s="173">
        <v>85</v>
      </c>
      <c r="F125" s="173">
        <v>80</v>
      </c>
      <c r="G125" s="173">
        <v>80</v>
      </c>
      <c r="J125" s="94" t="s">
        <v>254</v>
      </c>
      <c r="K125" s="91" t="s">
        <v>253</v>
      </c>
    </row>
    <row r="126" spans="1:16" ht="29.4" thickBot="1">
      <c r="A126" s="95" t="s">
        <v>254</v>
      </c>
      <c r="B126" s="100" t="s">
        <v>253</v>
      </c>
      <c r="C126" s="101">
        <v>110</v>
      </c>
      <c r="D126" s="101">
        <v>105</v>
      </c>
      <c r="E126" s="101">
        <v>100</v>
      </c>
      <c r="F126" s="101">
        <v>95</v>
      </c>
      <c r="G126" s="101">
        <v>95</v>
      </c>
      <c r="J126" s="94" t="s">
        <v>255</v>
      </c>
      <c r="K126" s="91" t="s">
        <v>256</v>
      </c>
    </row>
    <row r="127" spans="1:16" ht="15" thickBot="1">
      <c r="A127" s="95" t="s">
        <v>255</v>
      </c>
      <c r="B127" s="98" t="s">
        <v>256</v>
      </c>
      <c r="C127" s="99" t="s">
        <v>244</v>
      </c>
      <c r="D127" s="99" t="s">
        <v>244</v>
      </c>
      <c r="E127" s="99" t="s">
        <v>244</v>
      </c>
      <c r="F127" s="99" t="s">
        <v>244</v>
      </c>
      <c r="G127" s="99" t="s">
        <v>244</v>
      </c>
      <c r="J127" s="94" t="s">
        <v>257</v>
      </c>
      <c r="K127" s="91" t="s">
        <v>256</v>
      </c>
    </row>
    <row r="128" spans="1:16" ht="15" thickBot="1">
      <c r="A128" s="95" t="s">
        <v>257</v>
      </c>
      <c r="B128" s="100" t="s">
        <v>256</v>
      </c>
      <c r="C128" s="101" t="s">
        <v>244</v>
      </c>
      <c r="D128" s="101" t="s">
        <v>244</v>
      </c>
      <c r="E128" s="101" t="s">
        <v>244</v>
      </c>
      <c r="F128" s="101" t="s">
        <v>244</v>
      </c>
      <c r="G128" s="101" t="s">
        <v>244</v>
      </c>
      <c r="J128" s="94" t="s">
        <v>258</v>
      </c>
      <c r="K128" s="94"/>
      <c r="L128" s="94"/>
      <c r="M128" s="94"/>
      <c r="N128" s="94"/>
      <c r="O128" s="94"/>
      <c r="P128" s="94"/>
    </row>
    <row r="129" spans="1:16" ht="15" thickBot="1">
      <c r="A129" s="409" t="s">
        <v>258</v>
      </c>
      <c r="B129" s="410"/>
      <c r="C129" s="410"/>
      <c r="D129" s="410"/>
      <c r="E129" s="410"/>
      <c r="F129" s="410"/>
      <c r="G129" s="411"/>
      <c r="J129" s="94" t="s">
        <v>259</v>
      </c>
      <c r="K129" s="91" t="s">
        <v>260</v>
      </c>
      <c r="L129" s="91" t="s">
        <v>244</v>
      </c>
      <c r="M129" s="91" t="s">
        <v>244</v>
      </c>
      <c r="N129" s="91" t="s">
        <v>244</v>
      </c>
      <c r="O129" s="91" t="s">
        <v>244</v>
      </c>
      <c r="P129" s="91" t="s">
        <v>244</v>
      </c>
    </row>
    <row r="130" spans="1:16" ht="15" thickBot="1">
      <c r="A130" s="105" t="s">
        <v>262</v>
      </c>
      <c r="B130" s="96" t="s">
        <v>260</v>
      </c>
      <c r="C130" s="97" t="s">
        <v>244</v>
      </c>
      <c r="D130" s="97" t="s">
        <v>244</v>
      </c>
      <c r="E130" s="97" t="s">
        <v>244</v>
      </c>
      <c r="F130" s="97" t="s">
        <v>244</v>
      </c>
      <c r="G130" s="97" t="s">
        <v>244</v>
      </c>
    </row>
    <row r="132" spans="1:16" hidden="1">
      <c r="A132" s="9" t="s">
        <v>266</v>
      </c>
      <c r="J132" s="91" t="str">
        <f>"Comparison between ADV fossil and "&amp;A132</f>
        <v>Comparison between ADV fossil and IGCC CCS pre-combustion.</v>
      </c>
    </row>
    <row r="133" spans="1:16" ht="15" hidden="1" thickBot="1">
      <c r="A133" s="92"/>
      <c r="B133" s="93" t="s">
        <v>46</v>
      </c>
      <c r="C133" s="93">
        <v>2013</v>
      </c>
      <c r="D133" s="93">
        <v>2020</v>
      </c>
      <c r="E133" s="93">
        <v>2030</v>
      </c>
      <c r="F133" s="93">
        <v>2040</v>
      </c>
      <c r="G133" s="93">
        <v>2050</v>
      </c>
      <c r="J133" s="94"/>
      <c r="K133" s="94" t="s">
        <v>46</v>
      </c>
      <c r="L133" s="94">
        <v>2013</v>
      </c>
      <c r="M133" s="94">
        <v>2020</v>
      </c>
      <c r="N133" s="94">
        <v>2030</v>
      </c>
      <c r="O133" s="94">
        <v>2040</v>
      </c>
      <c r="P133" s="94">
        <v>2050</v>
      </c>
    </row>
    <row r="134" spans="1:16" ht="15.6" hidden="1" thickTop="1" thickBot="1">
      <c r="A134" s="406" t="s">
        <v>224</v>
      </c>
      <c r="B134" s="407"/>
      <c r="C134" s="407"/>
      <c r="D134" s="407"/>
      <c r="E134" s="407"/>
      <c r="F134" s="407"/>
      <c r="G134" s="408"/>
      <c r="J134" s="94" t="s">
        <v>224</v>
      </c>
    </row>
    <row r="135" spans="1:16" ht="15" hidden="1" thickBot="1">
      <c r="A135" s="95" t="s">
        <v>225</v>
      </c>
      <c r="B135" s="96" t="s">
        <v>189</v>
      </c>
      <c r="C135" s="97">
        <v>510</v>
      </c>
      <c r="D135" s="97">
        <v>510</v>
      </c>
      <c r="E135" s="97">
        <v>510</v>
      </c>
      <c r="F135" s="97">
        <v>510</v>
      </c>
      <c r="G135" s="97">
        <v>510</v>
      </c>
      <c r="J135" s="94" t="s">
        <v>225</v>
      </c>
      <c r="K135" s="91" t="s">
        <v>189</v>
      </c>
    </row>
    <row r="136" spans="1:16" ht="15" hidden="1" thickBot="1">
      <c r="A136" s="95" t="s">
        <v>226</v>
      </c>
      <c r="B136" s="98" t="s">
        <v>189</v>
      </c>
      <c r="C136" s="99">
        <v>675</v>
      </c>
      <c r="D136" s="99">
        <v>675</v>
      </c>
      <c r="E136" s="99">
        <v>675</v>
      </c>
      <c r="F136" s="99">
        <v>675</v>
      </c>
      <c r="G136" s="99">
        <v>675</v>
      </c>
      <c r="J136" s="94" t="s">
        <v>226</v>
      </c>
      <c r="K136" s="91" t="s">
        <v>189</v>
      </c>
    </row>
    <row r="137" spans="1:16" ht="15" hidden="1" thickBot="1">
      <c r="A137" s="95" t="s">
        <v>227</v>
      </c>
      <c r="B137" s="100" t="s">
        <v>189</v>
      </c>
      <c r="C137" s="101">
        <v>1460</v>
      </c>
      <c r="D137" s="101">
        <v>1380</v>
      </c>
      <c r="E137" s="101">
        <v>1380</v>
      </c>
      <c r="F137" s="101">
        <v>1160</v>
      </c>
      <c r="G137" s="101">
        <v>1160</v>
      </c>
      <c r="J137" s="94" t="s">
        <v>227</v>
      </c>
      <c r="K137" s="91" t="s">
        <v>189</v>
      </c>
    </row>
    <row r="138" spans="1:16" ht="15" hidden="1" thickBot="1">
      <c r="A138" s="95" t="s">
        <v>228</v>
      </c>
      <c r="B138" s="98" t="s">
        <v>229</v>
      </c>
      <c r="C138" s="99">
        <v>90</v>
      </c>
      <c r="D138" s="99">
        <v>90</v>
      </c>
      <c r="E138" s="99">
        <v>90</v>
      </c>
      <c r="F138" s="99">
        <v>90</v>
      </c>
      <c r="G138" s="99">
        <v>90</v>
      </c>
      <c r="J138" s="94" t="s">
        <v>228</v>
      </c>
      <c r="K138" s="91" t="s">
        <v>229</v>
      </c>
      <c r="L138" s="91">
        <f>C138-'Adv fossil'!C168</f>
        <v>0</v>
      </c>
      <c r="M138" s="91">
        <f>D138-'Adv fossil'!D168</f>
        <v>0</v>
      </c>
      <c r="N138" s="91">
        <f>E138-'Adv fossil'!E168</f>
        <v>0</v>
      </c>
      <c r="O138" s="91">
        <f>F138-'Adv fossil'!F168</f>
        <v>0</v>
      </c>
      <c r="P138" s="91">
        <f>G138-'Adv fossil'!G168</f>
        <v>0</v>
      </c>
    </row>
    <row r="139" spans="1:16" ht="15" hidden="1" thickBot="1">
      <c r="A139" s="95" t="s">
        <v>230</v>
      </c>
      <c r="B139" s="100" t="s">
        <v>229</v>
      </c>
      <c r="C139" s="101">
        <v>85</v>
      </c>
      <c r="D139" s="101">
        <v>85</v>
      </c>
      <c r="E139" s="101">
        <v>85</v>
      </c>
      <c r="F139" s="101">
        <v>85</v>
      </c>
      <c r="G139" s="101">
        <v>85</v>
      </c>
      <c r="J139" s="94" t="s">
        <v>230</v>
      </c>
      <c r="K139" s="91" t="s">
        <v>229</v>
      </c>
      <c r="L139" s="91">
        <f>C139-'Adv fossil'!C169</f>
        <v>0</v>
      </c>
      <c r="M139" s="91">
        <f>D139-'Adv fossil'!D169</f>
        <v>0</v>
      </c>
      <c r="N139" s="91">
        <f>E139-'Adv fossil'!E169</f>
        <v>0</v>
      </c>
      <c r="O139" s="91">
        <f>F139-'Adv fossil'!F169</f>
        <v>0</v>
      </c>
      <c r="P139" s="91">
        <f>G139-'Adv fossil'!G169</f>
        <v>0</v>
      </c>
    </row>
    <row r="140" spans="1:16" ht="15" hidden="1" thickBot="1">
      <c r="A140" s="95" t="s">
        <v>231</v>
      </c>
      <c r="B140" s="98" t="s">
        <v>232</v>
      </c>
      <c r="C140" s="99">
        <v>35</v>
      </c>
      <c r="D140" s="99">
        <v>35</v>
      </c>
      <c r="E140" s="99">
        <v>35</v>
      </c>
      <c r="F140" s="99">
        <v>35</v>
      </c>
      <c r="G140" s="99">
        <v>35</v>
      </c>
      <c r="J140" s="94" t="s">
        <v>231</v>
      </c>
      <c r="K140" s="91" t="s">
        <v>232</v>
      </c>
      <c r="L140" s="91">
        <f>C140-'Adv fossil'!C170</f>
        <v>0</v>
      </c>
      <c r="M140" s="91">
        <f>D140-'Adv fossil'!D170</f>
        <v>0</v>
      </c>
      <c r="N140" s="91">
        <f>E140-'Adv fossil'!E170</f>
        <v>0</v>
      </c>
      <c r="O140" s="91">
        <f>F140-'Adv fossil'!F170</f>
        <v>0</v>
      </c>
      <c r="P140" s="91">
        <f>G140-'Adv fossil'!G170</f>
        <v>0</v>
      </c>
    </row>
    <row r="141" spans="1:16" ht="15" hidden="1" thickBot="1">
      <c r="A141" s="95" t="s">
        <v>233</v>
      </c>
      <c r="B141" s="100" t="s">
        <v>229</v>
      </c>
      <c r="C141" s="101">
        <v>35</v>
      </c>
      <c r="D141" s="101">
        <v>37</v>
      </c>
      <c r="E141" s="101">
        <v>40</v>
      </c>
      <c r="F141" s="101">
        <v>41</v>
      </c>
      <c r="G141" s="101">
        <v>44</v>
      </c>
      <c r="J141" s="94" t="s">
        <v>233</v>
      </c>
      <c r="K141" s="91" t="s">
        <v>229</v>
      </c>
      <c r="L141" s="91">
        <f>C141-'Adv fossil'!C171</f>
        <v>-10</v>
      </c>
      <c r="M141" s="91">
        <f>D141-'Adv fossil'!D171</f>
        <v>-9</v>
      </c>
      <c r="N141" s="91">
        <f>E141-'Adv fossil'!E171</f>
        <v>-6</v>
      </c>
      <c r="O141" s="91">
        <f>F141-'Adv fossil'!F171</f>
        <v>-6</v>
      </c>
      <c r="P141" s="91">
        <f>G141-'Adv fossil'!G171</f>
        <v>-6</v>
      </c>
    </row>
    <row r="142" spans="1:16" ht="27" hidden="1" thickBot="1">
      <c r="A142" s="95" t="s">
        <v>234</v>
      </c>
      <c r="B142" s="98" t="s">
        <v>229</v>
      </c>
      <c r="C142" s="99">
        <v>10</v>
      </c>
      <c r="D142" s="99">
        <v>9</v>
      </c>
      <c r="E142" s="99">
        <v>6</v>
      </c>
      <c r="F142" s="99">
        <v>6</v>
      </c>
      <c r="G142" s="99">
        <v>6</v>
      </c>
      <c r="J142" s="94" t="s">
        <v>234</v>
      </c>
      <c r="K142" s="91" t="s">
        <v>229</v>
      </c>
      <c r="L142" s="91">
        <f>C142</f>
        <v>10</v>
      </c>
      <c r="M142" s="91">
        <f>D142</f>
        <v>9</v>
      </c>
      <c r="N142" s="91">
        <f>E142</f>
        <v>6</v>
      </c>
      <c r="O142" s="91">
        <f>F142</f>
        <v>6</v>
      </c>
      <c r="P142" s="91">
        <f>G142</f>
        <v>6</v>
      </c>
    </row>
    <row r="143" spans="1:16" ht="29.4" hidden="1" thickBot="1">
      <c r="A143" s="95" t="s">
        <v>235</v>
      </c>
      <c r="B143" s="100" t="s">
        <v>229</v>
      </c>
      <c r="C143" s="101">
        <v>88</v>
      </c>
      <c r="D143" s="101">
        <v>88</v>
      </c>
      <c r="E143" s="101">
        <v>88</v>
      </c>
      <c r="F143" s="101">
        <v>88</v>
      </c>
      <c r="G143" s="101">
        <v>88</v>
      </c>
      <c r="J143" s="94" t="s">
        <v>235</v>
      </c>
      <c r="K143" s="91" t="s">
        <v>229</v>
      </c>
    </row>
    <row r="144" spans="1:16" ht="15" hidden="1" thickBot="1">
      <c r="A144" s="409" t="s">
        <v>236</v>
      </c>
      <c r="B144" s="410"/>
      <c r="C144" s="410"/>
      <c r="D144" s="410"/>
      <c r="E144" s="410"/>
      <c r="F144" s="410"/>
      <c r="G144" s="411"/>
      <c r="J144" s="94" t="s">
        <v>236</v>
      </c>
      <c r="K144" s="94"/>
      <c r="L144" s="94"/>
      <c r="M144" s="94"/>
      <c r="N144" s="94"/>
      <c r="O144" s="94"/>
      <c r="P144" s="94"/>
    </row>
    <row r="145" spans="1:16" ht="16.2" hidden="1" thickBot="1">
      <c r="A145" s="95" t="s">
        <v>237</v>
      </c>
      <c r="B145" s="96" t="s">
        <v>238</v>
      </c>
      <c r="C145" s="97">
        <v>3100</v>
      </c>
      <c r="D145" s="97">
        <v>2885</v>
      </c>
      <c r="E145" s="97">
        <v>2825</v>
      </c>
      <c r="F145" s="97">
        <v>2825</v>
      </c>
      <c r="G145" s="97">
        <v>2825</v>
      </c>
      <c r="J145" s="94" t="s">
        <v>237</v>
      </c>
      <c r="K145" s="91" t="s">
        <v>238</v>
      </c>
      <c r="L145" s="102">
        <f>C145-'Adv fossil'!C173</f>
        <v>600</v>
      </c>
      <c r="M145" s="102">
        <f>D145-'Adv fossil'!D173</f>
        <v>585</v>
      </c>
      <c r="N145" s="102">
        <f>E145-'Adv fossil'!E173</f>
        <v>525</v>
      </c>
      <c r="O145" s="102">
        <f>F145-'Adv fossil'!F173</f>
        <v>525</v>
      </c>
      <c r="P145" s="102">
        <f>G145-'Adv fossil'!G173</f>
        <v>625</v>
      </c>
    </row>
    <row r="146" spans="1:16" ht="16.2" hidden="1" thickBot="1">
      <c r="A146" s="95" t="s">
        <v>239</v>
      </c>
      <c r="B146" s="98" t="s">
        <v>238</v>
      </c>
      <c r="C146" s="99">
        <v>2800</v>
      </c>
      <c r="D146" s="99">
        <v>2600</v>
      </c>
      <c r="E146" s="99">
        <v>2550</v>
      </c>
      <c r="F146" s="99">
        <v>2550</v>
      </c>
      <c r="G146" s="99">
        <v>2550</v>
      </c>
      <c r="J146" s="94" t="s">
        <v>239</v>
      </c>
      <c r="K146" s="91" t="s">
        <v>238</v>
      </c>
      <c r="L146" s="102">
        <f>C146-'Adv fossil'!C174</f>
        <v>350</v>
      </c>
      <c r="M146" s="102">
        <f>D146-'Adv fossil'!D174</f>
        <v>345</v>
      </c>
      <c r="N146" s="102">
        <f>E146-'Adv fossil'!E174</f>
        <v>295</v>
      </c>
      <c r="O146" s="102">
        <f>F146-'Adv fossil'!F174</f>
        <v>495</v>
      </c>
      <c r="P146" s="102">
        <f>G146-'Adv fossil'!G174</f>
        <v>400</v>
      </c>
    </row>
    <row r="147" spans="1:16" ht="16.2" hidden="1" thickBot="1">
      <c r="A147" s="95" t="s">
        <v>240</v>
      </c>
      <c r="B147" s="100" t="s">
        <v>238</v>
      </c>
      <c r="C147" s="101">
        <v>3550</v>
      </c>
      <c r="D147" s="101">
        <v>3300</v>
      </c>
      <c r="E147" s="101">
        <v>3230</v>
      </c>
      <c r="F147" s="101">
        <v>3230</v>
      </c>
      <c r="G147" s="101">
        <v>3230</v>
      </c>
      <c r="J147" s="94" t="s">
        <v>240</v>
      </c>
      <c r="K147" s="91" t="s">
        <v>238</v>
      </c>
      <c r="L147" s="102">
        <f>C147-'Adv fossil'!C175</f>
        <v>450</v>
      </c>
      <c r="M147" s="102">
        <f>D147-'Adv fossil'!D175</f>
        <v>450</v>
      </c>
      <c r="N147" s="102">
        <f>E147-'Adv fossil'!E175</f>
        <v>380</v>
      </c>
      <c r="O147" s="102">
        <f>F147-'Adv fossil'!F175</f>
        <v>380</v>
      </c>
      <c r="P147" s="102">
        <f>G147-'Adv fossil'!G175</f>
        <v>500</v>
      </c>
    </row>
    <row r="148" spans="1:16" ht="27" hidden="1" thickBot="1">
      <c r="A148" s="95" t="s">
        <v>241</v>
      </c>
      <c r="B148" s="98"/>
      <c r="C148" s="412" t="s">
        <v>242</v>
      </c>
      <c r="D148" s="413"/>
      <c r="E148" s="413"/>
      <c r="F148" s="413"/>
      <c r="G148" s="414"/>
      <c r="J148" s="94" t="s">
        <v>241</v>
      </c>
      <c r="L148" s="91" t="s">
        <v>242</v>
      </c>
    </row>
    <row r="149" spans="1:16" ht="15" hidden="1" thickBot="1">
      <c r="A149" s="95" t="s">
        <v>243</v>
      </c>
      <c r="B149" s="100" t="s">
        <v>229</v>
      </c>
      <c r="C149" s="101">
        <v>5</v>
      </c>
      <c r="D149" s="101">
        <v>5</v>
      </c>
      <c r="E149" s="101">
        <v>5</v>
      </c>
      <c r="F149" s="101">
        <v>5</v>
      </c>
      <c r="G149" s="101" t="s">
        <v>244</v>
      </c>
      <c r="J149" s="94" t="s">
        <v>243</v>
      </c>
      <c r="K149" s="91" t="s">
        <v>229</v>
      </c>
      <c r="L149" s="91" t="s">
        <v>244</v>
      </c>
      <c r="M149" s="91" t="s">
        <v>244</v>
      </c>
      <c r="N149" s="91" t="s">
        <v>244</v>
      </c>
      <c r="O149" s="91" t="s">
        <v>244</v>
      </c>
      <c r="P149" s="91" t="s">
        <v>244</v>
      </c>
    </row>
    <row r="150" spans="1:16" ht="27" hidden="1" thickBot="1">
      <c r="A150" s="95" t="s">
        <v>245</v>
      </c>
      <c r="B150" s="98" t="s">
        <v>246</v>
      </c>
      <c r="C150" s="99">
        <v>3</v>
      </c>
      <c r="D150" s="99">
        <v>3</v>
      </c>
      <c r="E150" s="99">
        <v>3</v>
      </c>
      <c r="F150" s="99">
        <v>3</v>
      </c>
      <c r="G150" s="99">
        <v>3</v>
      </c>
      <c r="J150" s="94" t="s">
        <v>245</v>
      </c>
      <c r="K150" s="103" t="s">
        <v>246</v>
      </c>
      <c r="L150" s="104">
        <f>C150-'Adv fossil'!C178</f>
        <v>0.5</v>
      </c>
      <c r="M150" s="104">
        <f>D150-'Adv fossil'!D178</f>
        <v>0.5</v>
      </c>
      <c r="N150" s="104">
        <f>E150-'Adv fossil'!E178</f>
        <v>0.5</v>
      </c>
      <c r="O150" s="104">
        <f>F150-'Adv fossil'!F178</f>
        <v>0.5</v>
      </c>
      <c r="P150" s="104">
        <f>G150-'Adv fossil'!G178</f>
        <v>0.5</v>
      </c>
    </row>
    <row r="151" spans="1:16" ht="16.2" hidden="1" thickBot="1">
      <c r="A151" s="95" t="s">
        <v>247</v>
      </c>
      <c r="B151" s="100" t="s">
        <v>248</v>
      </c>
      <c r="C151" s="101">
        <v>6</v>
      </c>
      <c r="D151" s="101">
        <v>6</v>
      </c>
      <c r="E151" s="101">
        <v>6</v>
      </c>
      <c r="F151" s="101">
        <v>6</v>
      </c>
      <c r="G151" s="101">
        <v>6</v>
      </c>
      <c r="J151" s="94" t="s">
        <v>247</v>
      </c>
      <c r="K151" s="91" t="s">
        <v>248</v>
      </c>
      <c r="L151" s="102">
        <f>C151-'Adv fossil'!C179</f>
        <v>1</v>
      </c>
      <c r="M151" s="102">
        <f>D151-'Adv fossil'!D179</f>
        <v>1</v>
      </c>
      <c r="N151" s="102">
        <f>E151-'Adv fossil'!E179</f>
        <v>1</v>
      </c>
      <c r="O151" s="102">
        <f>F151-'Adv fossil'!F179</f>
        <v>1</v>
      </c>
      <c r="P151" s="102">
        <f>G151-'Adv fossil'!G179</f>
        <v>1</v>
      </c>
    </row>
    <row r="152" spans="1:16" ht="16.2" hidden="1" thickBot="1">
      <c r="A152" s="95" t="s">
        <v>249</v>
      </c>
      <c r="B152" s="98" t="s">
        <v>248</v>
      </c>
      <c r="C152" s="99">
        <v>5.5</v>
      </c>
      <c r="D152" s="99" t="s">
        <v>244</v>
      </c>
      <c r="E152" s="99" t="s">
        <v>244</v>
      </c>
      <c r="F152" s="99" t="s">
        <v>244</v>
      </c>
      <c r="G152" s="99" t="s">
        <v>244</v>
      </c>
      <c r="J152" s="94" t="s">
        <v>249</v>
      </c>
      <c r="K152" s="91" t="s">
        <v>248</v>
      </c>
    </row>
    <row r="153" spans="1:16" ht="15" hidden="1" thickBot="1">
      <c r="A153" s="95" t="s">
        <v>250</v>
      </c>
      <c r="B153" s="100">
        <v>1</v>
      </c>
      <c r="C153" s="101">
        <v>400</v>
      </c>
      <c r="D153" s="101">
        <v>400</v>
      </c>
      <c r="E153" s="101">
        <v>400</v>
      </c>
      <c r="F153" s="101">
        <v>400</v>
      </c>
      <c r="G153" s="101">
        <v>400</v>
      </c>
      <c r="J153" s="94" t="s">
        <v>250</v>
      </c>
    </row>
    <row r="154" spans="1:16" ht="15" hidden="1" thickBot="1">
      <c r="A154" s="409" t="s">
        <v>251</v>
      </c>
      <c r="B154" s="410"/>
      <c r="C154" s="410"/>
      <c r="D154" s="410"/>
      <c r="E154" s="410"/>
      <c r="F154" s="410"/>
      <c r="G154" s="411"/>
      <c r="J154" s="94" t="s">
        <v>251</v>
      </c>
      <c r="K154" s="94"/>
      <c r="L154" s="94"/>
      <c r="M154" s="94"/>
      <c r="N154" s="94"/>
      <c r="O154" s="94"/>
      <c r="P154" s="94"/>
    </row>
    <row r="155" spans="1:16" ht="29.4" hidden="1" thickBot="1">
      <c r="A155" s="95" t="s">
        <v>252</v>
      </c>
      <c r="B155" s="96" t="s">
        <v>253</v>
      </c>
      <c r="C155" s="97">
        <v>150</v>
      </c>
      <c r="D155" s="97">
        <v>140</v>
      </c>
      <c r="E155" s="97">
        <v>130</v>
      </c>
      <c r="F155" s="97">
        <v>125</v>
      </c>
      <c r="G155" s="97">
        <v>118</v>
      </c>
      <c r="J155" s="94" t="s">
        <v>252</v>
      </c>
      <c r="K155" s="91" t="s">
        <v>253</v>
      </c>
    </row>
    <row r="156" spans="1:16" ht="29.4" hidden="1" thickBot="1">
      <c r="A156" s="95" t="s">
        <v>254</v>
      </c>
      <c r="B156" s="98" t="s">
        <v>253</v>
      </c>
      <c r="C156" s="99">
        <v>125</v>
      </c>
      <c r="D156" s="99">
        <v>120</v>
      </c>
      <c r="E156" s="99">
        <v>110</v>
      </c>
      <c r="F156" s="99">
        <v>105</v>
      </c>
      <c r="G156" s="99">
        <v>100</v>
      </c>
      <c r="J156" s="94" t="s">
        <v>254</v>
      </c>
      <c r="K156" s="91" t="s">
        <v>253</v>
      </c>
    </row>
    <row r="157" spans="1:16" ht="15" hidden="1" thickBot="1">
      <c r="A157" s="95" t="s">
        <v>255</v>
      </c>
      <c r="B157" s="100" t="s">
        <v>256</v>
      </c>
      <c r="C157" s="101">
        <v>2050</v>
      </c>
      <c r="D157" s="101">
        <v>1940</v>
      </c>
      <c r="E157" s="101">
        <v>1795</v>
      </c>
      <c r="F157" s="101">
        <v>1750</v>
      </c>
      <c r="G157" s="101">
        <v>1630</v>
      </c>
      <c r="J157" s="94" t="s">
        <v>255</v>
      </c>
      <c r="K157" s="91" t="s">
        <v>256</v>
      </c>
    </row>
    <row r="158" spans="1:16" ht="15" hidden="1" thickBot="1">
      <c r="A158" s="95" t="s">
        <v>257</v>
      </c>
      <c r="B158" s="98" t="s">
        <v>256</v>
      </c>
      <c r="C158" s="99">
        <v>2510</v>
      </c>
      <c r="D158" s="99">
        <v>2375</v>
      </c>
      <c r="E158" s="99">
        <v>2195</v>
      </c>
      <c r="F158" s="99">
        <v>2150</v>
      </c>
      <c r="G158" s="99">
        <v>2000</v>
      </c>
      <c r="J158" s="94" t="s">
        <v>257</v>
      </c>
      <c r="K158" s="91" t="s">
        <v>256</v>
      </c>
    </row>
    <row r="159" spans="1:16" ht="15" hidden="1" thickBot="1">
      <c r="A159" s="409" t="s">
        <v>258</v>
      </c>
      <c r="B159" s="410"/>
      <c r="C159" s="410"/>
      <c r="D159" s="410"/>
      <c r="E159" s="410"/>
      <c r="F159" s="410"/>
      <c r="G159" s="411"/>
      <c r="J159" s="94" t="s">
        <v>258</v>
      </c>
      <c r="K159" s="94"/>
      <c r="L159" s="94"/>
      <c r="M159" s="94"/>
      <c r="N159" s="94"/>
      <c r="O159" s="94"/>
      <c r="P159" s="94"/>
    </row>
    <row r="160" spans="1:16" ht="15" hidden="1" thickBot="1">
      <c r="A160" s="105" t="s">
        <v>262</v>
      </c>
      <c r="B160" s="106" t="s">
        <v>260</v>
      </c>
      <c r="C160" s="173" t="s">
        <v>244</v>
      </c>
      <c r="D160" s="173" t="s">
        <v>244</v>
      </c>
      <c r="E160" s="173" t="s">
        <v>244</v>
      </c>
      <c r="F160" s="173" t="s">
        <v>244</v>
      </c>
      <c r="G160" s="173" t="s">
        <v>244</v>
      </c>
      <c r="J160" s="94" t="s">
        <v>259</v>
      </c>
      <c r="K160" s="91" t="s">
        <v>260</v>
      </c>
      <c r="L160" s="91" t="s">
        <v>244</v>
      </c>
      <c r="M160" s="91" t="s">
        <v>244</v>
      </c>
      <c r="N160" s="91" t="s">
        <v>244</v>
      </c>
      <c r="O160" s="91" t="s">
        <v>244</v>
      </c>
      <c r="P160" s="91" t="s">
        <v>244</v>
      </c>
    </row>
    <row r="161" spans="1:23" hidden="1"/>
    <row r="162" spans="1:23" ht="15" thickBot="1">
      <c r="A162" s="107" t="s">
        <v>267</v>
      </c>
      <c r="J162" s="91" t="str">
        <f>"Comparison between ADV fossil and "&amp;A162</f>
        <v>Comparison between ADV fossil and IGCC lignite CCS pre combustion.</v>
      </c>
      <c r="S162" s="91" t="s">
        <v>294</v>
      </c>
    </row>
    <row r="163" spans="1:23" ht="15" thickBot="1">
      <c r="A163" s="92"/>
      <c r="B163" s="93" t="s">
        <v>46</v>
      </c>
      <c r="C163" s="93">
        <v>2013</v>
      </c>
      <c r="D163" s="93">
        <v>2020</v>
      </c>
      <c r="E163" s="93">
        <v>2030</v>
      </c>
      <c r="F163" s="93">
        <v>2040</v>
      </c>
      <c r="G163" s="93">
        <v>2050</v>
      </c>
      <c r="J163" s="94"/>
      <c r="K163" s="94" t="s">
        <v>46</v>
      </c>
      <c r="L163" s="94">
        <v>2013</v>
      </c>
      <c r="M163" s="94">
        <v>2020</v>
      </c>
      <c r="N163" s="94">
        <v>2030</v>
      </c>
      <c r="O163" s="94">
        <v>2040</v>
      </c>
      <c r="P163" s="94">
        <v>2050</v>
      </c>
      <c r="S163" s="94">
        <v>2013</v>
      </c>
      <c r="T163" s="94">
        <v>2020</v>
      </c>
      <c r="U163" s="94">
        <v>2030</v>
      </c>
      <c r="V163" s="94">
        <v>2040</v>
      </c>
      <c r="W163" s="94">
        <v>2050</v>
      </c>
    </row>
    <row r="164" spans="1:23" ht="15.6" thickTop="1" thickBot="1">
      <c r="A164" s="406" t="s">
        <v>224</v>
      </c>
      <c r="B164" s="407"/>
      <c r="C164" s="407"/>
      <c r="D164" s="407"/>
      <c r="E164" s="407"/>
      <c r="F164" s="407"/>
      <c r="G164" s="408"/>
      <c r="J164" s="94" t="s">
        <v>224</v>
      </c>
    </row>
    <row r="165" spans="1:23" ht="15" thickBot="1">
      <c r="A165" s="95" t="s">
        <v>225</v>
      </c>
      <c r="B165" s="96" t="s">
        <v>189</v>
      </c>
      <c r="C165" s="97">
        <v>510</v>
      </c>
      <c r="D165" s="97">
        <v>510</v>
      </c>
      <c r="E165" s="97">
        <v>510</v>
      </c>
      <c r="F165" s="97">
        <v>510</v>
      </c>
      <c r="G165" s="97">
        <v>510</v>
      </c>
      <c r="J165" s="94" t="s">
        <v>225</v>
      </c>
      <c r="K165" s="91" t="s">
        <v>189</v>
      </c>
    </row>
    <row r="166" spans="1:23" ht="15" thickBot="1">
      <c r="A166" s="95" t="s">
        <v>226</v>
      </c>
      <c r="B166" s="98" t="s">
        <v>189</v>
      </c>
      <c r="C166" s="99">
        <v>700</v>
      </c>
      <c r="D166" s="99">
        <v>700</v>
      </c>
      <c r="E166" s="99">
        <v>700</v>
      </c>
      <c r="F166" s="99">
        <v>700</v>
      </c>
      <c r="G166" s="99">
        <v>700</v>
      </c>
      <c r="J166" s="94" t="s">
        <v>226</v>
      </c>
      <c r="K166" s="91" t="s">
        <v>189</v>
      </c>
    </row>
    <row r="167" spans="1:23" ht="15" thickBot="1">
      <c r="A167" s="95" t="s">
        <v>227</v>
      </c>
      <c r="B167" s="100" t="s">
        <v>189</v>
      </c>
      <c r="C167" s="101">
        <v>1460</v>
      </c>
      <c r="D167" s="101">
        <v>1380</v>
      </c>
      <c r="E167" s="101">
        <v>1280</v>
      </c>
      <c r="F167" s="101">
        <v>1250</v>
      </c>
      <c r="G167" s="101">
        <v>1250</v>
      </c>
      <c r="J167" s="94" t="s">
        <v>227</v>
      </c>
      <c r="K167" s="91" t="s">
        <v>189</v>
      </c>
    </row>
    <row r="168" spans="1:23" ht="15" thickBot="1">
      <c r="A168" s="95" t="s">
        <v>228</v>
      </c>
      <c r="B168" s="98" t="s">
        <v>229</v>
      </c>
      <c r="C168" s="99">
        <v>90</v>
      </c>
      <c r="D168" s="99">
        <v>90</v>
      </c>
      <c r="E168" s="99">
        <v>90</v>
      </c>
      <c r="F168" s="99">
        <v>90</v>
      </c>
      <c r="G168" s="99">
        <v>90</v>
      </c>
      <c r="J168" s="94" t="s">
        <v>228</v>
      </c>
      <c r="K168" s="91" t="s">
        <v>229</v>
      </c>
      <c r="L168" s="91">
        <f>C168-'Adv fossil'!C195</f>
        <v>0</v>
      </c>
      <c r="M168" s="91">
        <f>D168-'Adv fossil'!D195</f>
        <v>0</v>
      </c>
      <c r="N168" s="91">
        <f>E168-'Adv fossil'!E195</f>
        <v>0</v>
      </c>
      <c r="O168" s="91">
        <f>F168-'Adv fossil'!F195</f>
        <v>0</v>
      </c>
      <c r="P168" s="91">
        <f>G168-'Adv fossil'!G195</f>
        <v>0</v>
      </c>
    </row>
    <row r="169" spans="1:23" ht="15" thickBot="1">
      <c r="A169" s="95" t="s">
        <v>230</v>
      </c>
      <c r="B169" s="100" t="s">
        <v>229</v>
      </c>
      <c r="C169" s="101">
        <v>85</v>
      </c>
      <c r="D169" s="101">
        <v>85</v>
      </c>
      <c r="E169" s="101">
        <v>85</v>
      </c>
      <c r="F169" s="101">
        <v>85</v>
      </c>
      <c r="G169" s="101">
        <v>85</v>
      </c>
      <c r="J169" s="94" t="s">
        <v>230</v>
      </c>
      <c r="K169" s="91" t="s">
        <v>229</v>
      </c>
      <c r="L169" s="91">
        <f>C169-'Adv fossil'!C196</f>
        <v>0</v>
      </c>
      <c r="M169" s="91">
        <f>D169-'Adv fossil'!D196</f>
        <v>0</v>
      </c>
      <c r="N169" s="91">
        <f>E169-'Adv fossil'!E196</f>
        <v>0</v>
      </c>
      <c r="O169" s="91">
        <f>F169-'Adv fossil'!F196</f>
        <v>0</v>
      </c>
      <c r="P169" s="91">
        <f>G169-'Adv fossil'!G196</f>
        <v>0</v>
      </c>
    </row>
    <row r="170" spans="1:23" ht="15" thickBot="1">
      <c r="A170" s="95" t="s">
        <v>231</v>
      </c>
      <c r="B170" s="98" t="s">
        <v>232</v>
      </c>
      <c r="C170" s="99">
        <v>35</v>
      </c>
      <c r="D170" s="99">
        <v>35</v>
      </c>
      <c r="E170" s="99">
        <v>35</v>
      </c>
      <c r="F170" s="99">
        <v>35</v>
      </c>
      <c r="G170" s="99">
        <v>35</v>
      </c>
      <c r="J170" s="94" t="s">
        <v>231</v>
      </c>
      <c r="K170" s="91" t="s">
        <v>232</v>
      </c>
      <c r="L170" s="91">
        <f>C170-'Adv fossil'!C197</f>
        <v>0</v>
      </c>
      <c r="M170" s="91">
        <f>D170-'Adv fossil'!D197</f>
        <v>0</v>
      </c>
      <c r="N170" s="91">
        <f>E170-'Adv fossil'!E197</f>
        <v>0</v>
      </c>
      <c r="O170" s="91">
        <f>F170-'Adv fossil'!F197</f>
        <v>0</v>
      </c>
      <c r="P170" s="91">
        <f>G170-'Adv fossil'!G197</f>
        <v>0</v>
      </c>
    </row>
    <row r="171" spans="1:23" ht="15" thickBot="1">
      <c r="A171" s="95" t="s">
        <v>233</v>
      </c>
      <c r="B171" s="100" t="s">
        <v>229</v>
      </c>
      <c r="C171" s="101">
        <v>35</v>
      </c>
      <c r="D171" s="101">
        <v>37</v>
      </c>
      <c r="E171" s="101">
        <v>40</v>
      </c>
      <c r="F171" s="101">
        <v>41</v>
      </c>
      <c r="G171" s="101">
        <v>41</v>
      </c>
      <c r="J171" s="94" t="s">
        <v>233</v>
      </c>
      <c r="K171" s="91" t="s">
        <v>229</v>
      </c>
      <c r="L171" s="91">
        <f>C171-'Adv fossil'!C198</f>
        <v>-8</v>
      </c>
      <c r="M171" s="91">
        <f>D171-'Adv fossil'!D198</f>
        <v>-8</v>
      </c>
      <c r="N171" s="91">
        <f>E171-'Adv fossil'!E198</f>
        <v>-6</v>
      </c>
      <c r="O171" s="91">
        <f>F171-'Adv fossil'!F198</f>
        <v>-6</v>
      </c>
      <c r="P171" s="91">
        <f>G171-'Adv fossil'!G198</f>
        <v>-6</v>
      </c>
      <c r="R171" s="91" t="s">
        <v>295</v>
      </c>
      <c r="S171" s="91">
        <f>-L171+C171</f>
        <v>43</v>
      </c>
      <c r="T171" s="91">
        <f>-M171+D171</f>
        <v>45</v>
      </c>
      <c r="U171" s="91">
        <f>-N171+E171</f>
        <v>46</v>
      </c>
      <c r="V171" s="91">
        <f>-O171+F171</f>
        <v>47</v>
      </c>
      <c r="W171" s="91">
        <f>-P171+G171</f>
        <v>47</v>
      </c>
    </row>
    <row r="172" spans="1:23" ht="27" thickBot="1">
      <c r="A172" s="95" t="s">
        <v>234</v>
      </c>
      <c r="B172" s="98" t="s">
        <v>229</v>
      </c>
      <c r="C172" s="99">
        <v>8</v>
      </c>
      <c r="D172" s="99">
        <v>8</v>
      </c>
      <c r="E172" s="99">
        <v>6</v>
      </c>
      <c r="F172" s="99">
        <v>6</v>
      </c>
      <c r="G172" s="99">
        <v>6</v>
      </c>
      <c r="J172" s="94" t="s">
        <v>234</v>
      </c>
      <c r="K172" s="91" t="s">
        <v>229</v>
      </c>
      <c r="L172" s="91">
        <f>C172</f>
        <v>8</v>
      </c>
      <c r="M172" s="91">
        <f>D172</f>
        <v>8</v>
      </c>
      <c r="N172" s="91">
        <f>E172</f>
        <v>6</v>
      </c>
      <c r="O172" s="91">
        <f>F172</f>
        <v>6</v>
      </c>
      <c r="P172" s="91">
        <f>G172</f>
        <v>6</v>
      </c>
      <c r="R172" s="91" t="s">
        <v>296</v>
      </c>
      <c r="S172" s="91">
        <f>L172</f>
        <v>8</v>
      </c>
      <c r="T172" s="91">
        <f>M172</f>
        <v>8</v>
      </c>
      <c r="U172" s="91">
        <f>N172</f>
        <v>6</v>
      </c>
      <c r="V172" s="91">
        <f>O172</f>
        <v>6</v>
      </c>
      <c r="W172" s="91">
        <f>P172</f>
        <v>6</v>
      </c>
    </row>
    <row r="173" spans="1:23" ht="29.4" thickBot="1">
      <c r="A173" s="95" t="s">
        <v>235</v>
      </c>
      <c r="B173" s="100" t="s">
        <v>229</v>
      </c>
      <c r="C173" s="101">
        <v>89</v>
      </c>
      <c r="D173" s="101">
        <v>89</v>
      </c>
      <c r="E173" s="101">
        <v>89</v>
      </c>
      <c r="F173" s="101">
        <v>89</v>
      </c>
      <c r="G173" s="101">
        <v>89</v>
      </c>
      <c r="J173" s="94" t="s">
        <v>235</v>
      </c>
      <c r="K173" s="91" t="s">
        <v>229</v>
      </c>
      <c r="R173" s="91" t="s">
        <v>297</v>
      </c>
      <c r="S173" s="91">
        <f>S172/S171</f>
        <v>0.18604651162790697</v>
      </c>
      <c r="T173" s="91">
        <f>T172/T171</f>
        <v>0.17777777777777778</v>
      </c>
      <c r="U173" s="91">
        <f>U172/U171</f>
        <v>0.13043478260869565</v>
      </c>
      <c r="V173" s="91">
        <f>V172/V171</f>
        <v>0.1276595744680851</v>
      </c>
      <c r="W173" s="91">
        <f>W172/W171</f>
        <v>0.1276595744680851</v>
      </c>
    </row>
    <row r="174" spans="1:23" ht="15" thickBot="1">
      <c r="A174" s="409" t="s">
        <v>236</v>
      </c>
      <c r="B174" s="410"/>
      <c r="C174" s="410"/>
      <c r="D174" s="410"/>
      <c r="E174" s="410"/>
      <c r="F174" s="410"/>
      <c r="G174" s="411"/>
      <c r="J174" s="94" t="s">
        <v>236</v>
      </c>
      <c r="K174" s="94"/>
      <c r="L174" s="94"/>
      <c r="M174" s="94"/>
      <c r="N174" s="94"/>
      <c r="O174" s="94"/>
      <c r="P174" s="94"/>
    </row>
    <row r="175" spans="1:23" ht="16.2" thickBot="1">
      <c r="A175" s="95" t="s">
        <v>237</v>
      </c>
      <c r="B175" s="96" t="s">
        <v>238</v>
      </c>
      <c r="C175" s="97">
        <v>4500</v>
      </c>
      <c r="D175" s="97">
        <v>4370</v>
      </c>
      <c r="E175" s="97">
        <v>4370</v>
      </c>
      <c r="F175" s="97">
        <v>4370</v>
      </c>
      <c r="G175" s="97">
        <v>4370</v>
      </c>
      <c r="J175" s="94" t="s">
        <v>237</v>
      </c>
      <c r="K175" s="91" t="s">
        <v>238</v>
      </c>
      <c r="L175" s="102">
        <f>C175-'Adv fossil'!C200</f>
        <v>1400</v>
      </c>
      <c r="M175" s="102">
        <f>D175-'Adv fossil'!D200</f>
        <v>1370</v>
      </c>
      <c r="N175" s="102">
        <f>E175-'Adv fossil'!E200</f>
        <v>1370</v>
      </c>
      <c r="O175" s="102">
        <f>F175-'Adv fossil'!F200</f>
        <v>1370</v>
      </c>
      <c r="P175" s="102">
        <f>G175-'Adv fossil'!G200</f>
        <v>1370</v>
      </c>
    </row>
    <row r="176" spans="1:23" ht="16.2" thickBot="1">
      <c r="A176" s="95" t="s">
        <v>239</v>
      </c>
      <c r="B176" s="98" t="s">
        <v>238</v>
      </c>
      <c r="C176" s="99">
        <v>3950</v>
      </c>
      <c r="D176" s="99">
        <v>3820</v>
      </c>
      <c r="E176" s="99">
        <v>3820</v>
      </c>
      <c r="F176" s="99">
        <v>3820</v>
      </c>
      <c r="G176" s="99">
        <v>3820</v>
      </c>
      <c r="J176" s="94" t="s">
        <v>239</v>
      </c>
      <c r="K176" s="91" t="s">
        <v>238</v>
      </c>
      <c r="L176" s="102">
        <f>C176-'Adv fossil'!C201</f>
        <v>1300</v>
      </c>
      <c r="M176" s="102">
        <f>D176-'Adv fossil'!D201</f>
        <v>1220</v>
      </c>
      <c r="N176" s="102">
        <f>E176-'Adv fossil'!E201</f>
        <v>1220</v>
      </c>
      <c r="O176" s="102">
        <f>F176-'Adv fossil'!F201</f>
        <v>1220</v>
      </c>
      <c r="P176" s="102">
        <f>G176-'Adv fossil'!G201</f>
        <v>1220</v>
      </c>
    </row>
    <row r="177" spans="1:16" ht="16.2" thickBot="1">
      <c r="A177" s="95" t="s">
        <v>240</v>
      </c>
      <c r="B177" s="100" t="s">
        <v>238</v>
      </c>
      <c r="C177" s="101">
        <v>5000</v>
      </c>
      <c r="D177" s="101">
        <v>4850</v>
      </c>
      <c r="E177" s="101">
        <v>4850</v>
      </c>
      <c r="F177" s="101">
        <v>4850</v>
      </c>
      <c r="G177" s="101">
        <v>4850</v>
      </c>
      <c r="J177" s="94" t="s">
        <v>240</v>
      </c>
      <c r="K177" s="91" t="s">
        <v>238</v>
      </c>
      <c r="L177" s="102">
        <f>C177-'Adv fossil'!C202</f>
        <v>1650</v>
      </c>
      <c r="M177" s="102">
        <f>D177-'Adv fossil'!D202</f>
        <v>1600</v>
      </c>
      <c r="N177" s="102">
        <f>E177-'Adv fossil'!E202</f>
        <v>1600</v>
      </c>
      <c r="O177" s="102">
        <f>F177-'Adv fossil'!F202</f>
        <v>1600</v>
      </c>
      <c r="P177" s="102">
        <f>G177-'Adv fossil'!G202</f>
        <v>1600</v>
      </c>
    </row>
    <row r="178" spans="1:16" ht="27" thickBot="1">
      <c r="A178" s="95" t="s">
        <v>241</v>
      </c>
      <c r="B178" s="98"/>
      <c r="C178" s="412" t="s">
        <v>242</v>
      </c>
      <c r="D178" s="413"/>
      <c r="E178" s="413"/>
      <c r="F178" s="413"/>
      <c r="G178" s="414"/>
      <c r="J178" s="94" t="s">
        <v>241</v>
      </c>
      <c r="L178" s="91" t="s">
        <v>242</v>
      </c>
    </row>
    <row r="179" spans="1:16" ht="15" thickBot="1">
      <c r="A179" s="95" t="s">
        <v>243</v>
      </c>
      <c r="B179" s="100" t="s">
        <v>229</v>
      </c>
      <c r="C179" s="101" t="s">
        <v>244</v>
      </c>
      <c r="D179" s="101" t="s">
        <v>244</v>
      </c>
      <c r="E179" s="101" t="s">
        <v>244</v>
      </c>
      <c r="F179" s="101" t="s">
        <v>244</v>
      </c>
      <c r="G179" s="101" t="s">
        <v>244</v>
      </c>
      <c r="J179" s="94" t="s">
        <v>243</v>
      </c>
      <c r="K179" s="91" t="s">
        <v>229</v>
      </c>
      <c r="L179" s="91" t="s">
        <v>244</v>
      </c>
      <c r="M179" s="91" t="s">
        <v>244</v>
      </c>
      <c r="N179" s="91" t="s">
        <v>244</v>
      </c>
      <c r="O179" s="91" t="s">
        <v>244</v>
      </c>
      <c r="P179" s="91" t="s">
        <v>244</v>
      </c>
    </row>
    <row r="180" spans="1:16" ht="27" thickBot="1">
      <c r="A180" s="95" t="s">
        <v>245</v>
      </c>
      <c r="B180" s="98" t="s">
        <v>246</v>
      </c>
      <c r="C180" s="99">
        <v>2.2999999999999998</v>
      </c>
      <c r="D180" s="99">
        <v>2.2999999999999998</v>
      </c>
      <c r="E180" s="99">
        <v>2.2999999999999998</v>
      </c>
      <c r="F180" s="99">
        <v>2.2999999999999998</v>
      </c>
      <c r="G180" s="99">
        <v>2.2999999999999998</v>
      </c>
      <c r="J180" s="94" t="s">
        <v>245</v>
      </c>
      <c r="K180" s="103" t="s">
        <v>246</v>
      </c>
      <c r="L180" s="104">
        <f>C180-'Adv fossil'!C205</f>
        <v>-0.70000000000000018</v>
      </c>
      <c r="M180" s="104">
        <f>D180-'Adv fossil'!D205</f>
        <v>-0.70000000000000018</v>
      </c>
      <c r="N180" s="104">
        <f>E180-'Adv fossil'!E205</f>
        <v>-0.70000000000000018</v>
      </c>
      <c r="O180" s="104">
        <f>F180-'Adv fossil'!F205</f>
        <v>-0.70000000000000018</v>
      </c>
      <c r="P180" s="104">
        <f>G180-'Adv fossil'!G205</f>
        <v>-0.70000000000000018</v>
      </c>
    </row>
    <row r="181" spans="1:16" ht="16.2" thickBot="1">
      <c r="A181" s="95" t="s">
        <v>247</v>
      </c>
      <c r="B181" s="100" t="s">
        <v>248</v>
      </c>
      <c r="C181" s="101">
        <v>8</v>
      </c>
      <c r="D181" s="101">
        <v>8</v>
      </c>
      <c r="E181" s="101">
        <v>8</v>
      </c>
      <c r="F181" s="101">
        <v>8</v>
      </c>
      <c r="G181" s="101">
        <v>8</v>
      </c>
      <c r="J181" s="94" t="s">
        <v>247</v>
      </c>
      <c r="K181" s="91" t="s">
        <v>248</v>
      </c>
      <c r="L181" s="102">
        <f>C181-'Adv fossil'!C206</f>
        <v>1</v>
      </c>
      <c r="M181" s="102">
        <f>D181-'Adv fossil'!D206</f>
        <v>1</v>
      </c>
      <c r="N181" s="102">
        <f>E181-'Adv fossil'!E206</f>
        <v>1</v>
      </c>
      <c r="O181" s="102">
        <f>F181-'Adv fossil'!F206</f>
        <v>1</v>
      </c>
      <c r="P181" s="102">
        <f>G181-'Adv fossil'!G206</f>
        <v>1</v>
      </c>
    </row>
    <row r="182" spans="1:16" ht="29.4" thickBot="1">
      <c r="A182" s="95" t="s">
        <v>268</v>
      </c>
      <c r="B182" s="98" t="s">
        <v>248</v>
      </c>
      <c r="C182" s="99">
        <v>8</v>
      </c>
      <c r="D182" s="99" t="s">
        <v>244</v>
      </c>
      <c r="E182" s="99" t="s">
        <v>244</v>
      </c>
      <c r="F182" s="99" t="s">
        <v>244</v>
      </c>
      <c r="G182" s="99" t="s">
        <v>244</v>
      </c>
      <c r="J182" s="94" t="s">
        <v>249</v>
      </c>
      <c r="K182" s="91" t="s">
        <v>248</v>
      </c>
    </row>
    <row r="183" spans="1:16" ht="15" thickBot="1">
      <c r="A183" s="95" t="s">
        <v>250</v>
      </c>
      <c r="B183" s="100">
        <v>1</v>
      </c>
      <c r="C183" s="101">
        <v>400</v>
      </c>
      <c r="D183" s="101">
        <v>400</v>
      </c>
      <c r="E183" s="101">
        <v>400</v>
      </c>
      <c r="F183" s="101">
        <v>400</v>
      </c>
      <c r="G183" s="101">
        <v>400</v>
      </c>
      <c r="J183" s="94" t="s">
        <v>250</v>
      </c>
    </row>
    <row r="184" spans="1:16" ht="15" thickBot="1">
      <c r="A184" s="409" t="s">
        <v>251</v>
      </c>
      <c r="B184" s="410"/>
      <c r="C184" s="410"/>
      <c r="D184" s="410"/>
      <c r="E184" s="410"/>
      <c r="F184" s="410"/>
      <c r="G184" s="411"/>
      <c r="J184" s="94" t="s">
        <v>251</v>
      </c>
      <c r="K184" s="94"/>
      <c r="L184" s="94"/>
      <c r="M184" s="94"/>
      <c r="N184" s="94"/>
      <c r="O184" s="94"/>
      <c r="P184" s="94"/>
    </row>
    <row r="185" spans="1:16" ht="29.4" thickBot="1">
      <c r="A185" s="95" t="s">
        <v>252</v>
      </c>
      <c r="B185" s="96" t="s">
        <v>253</v>
      </c>
      <c r="C185" s="97">
        <v>123</v>
      </c>
      <c r="D185" s="97">
        <v>116</v>
      </c>
      <c r="E185" s="97">
        <v>107</v>
      </c>
      <c r="F185" s="97">
        <v>105</v>
      </c>
      <c r="G185" s="97">
        <v>105</v>
      </c>
      <c r="J185" s="94" t="s">
        <v>252</v>
      </c>
      <c r="K185" s="91" t="s">
        <v>253</v>
      </c>
    </row>
    <row r="186" spans="1:16" ht="29.4" thickBot="1">
      <c r="A186" s="95" t="s">
        <v>254</v>
      </c>
      <c r="B186" s="98" t="s">
        <v>253</v>
      </c>
      <c r="C186" s="99">
        <v>104</v>
      </c>
      <c r="D186" s="99">
        <v>98</v>
      </c>
      <c r="E186" s="99">
        <v>90</v>
      </c>
      <c r="F186" s="99">
        <v>88</v>
      </c>
      <c r="G186" s="99">
        <v>88</v>
      </c>
      <c r="J186" s="94" t="s">
        <v>254</v>
      </c>
      <c r="K186" s="91" t="s">
        <v>253</v>
      </c>
    </row>
    <row r="187" spans="1:16" ht="15" thickBot="1">
      <c r="A187" s="95" t="s">
        <v>255</v>
      </c>
      <c r="B187" s="100" t="s">
        <v>256</v>
      </c>
      <c r="C187" s="101">
        <v>1530</v>
      </c>
      <c r="D187" s="101">
        <v>1450</v>
      </c>
      <c r="E187" s="101">
        <v>1340</v>
      </c>
      <c r="F187" s="101">
        <v>1300</v>
      </c>
      <c r="G187" s="101">
        <v>1300</v>
      </c>
      <c r="J187" s="94" t="s">
        <v>255</v>
      </c>
      <c r="K187" s="91" t="s">
        <v>256</v>
      </c>
    </row>
    <row r="188" spans="1:16" ht="15" thickBot="1">
      <c r="A188" s="95" t="s">
        <v>257</v>
      </c>
      <c r="B188" s="98" t="s">
        <v>256</v>
      </c>
      <c r="C188" s="99">
        <v>1900</v>
      </c>
      <c r="D188" s="99">
        <v>1800</v>
      </c>
      <c r="E188" s="99">
        <v>1665</v>
      </c>
      <c r="F188" s="99">
        <v>1620</v>
      </c>
      <c r="G188" s="99">
        <v>1620</v>
      </c>
      <c r="J188" s="94" t="s">
        <v>257</v>
      </c>
      <c r="K188" s="91" t="s">
        <v>256</v>
      </c>
    </row>
    <row r="189" spans="1:16" ht="15" thickBot="1">
      <c r="A189" s="409" t="s">
        <v>258</v>
      </c>
      <c r="B189" s="410"/>
      <c r="C189" s="410"/>
      <c r="D189" s="410"/>
      <c r="E189" s="410"/>
      <c r="F189" s="410"/>
      <c r="G189" s="411"/>
      <c r="J189" s="94" t="s">
        <v>258</v>
      </c>
      <c r="K189" s="94"/>
      <c r="L189" s="94"/>
      <c r="M189" s="94"/>
      <c r="N189" s="94"/>
      <c r="O189" s="94"/>
      <c r="P189" s="94"/>
    </row>
    <row r="190" spans="1:16" ht="15" thickBot="1">
      <c r="A190" s="105" t="s">
        <v>262</v>
      </c>
      <c r="B190" s="106" t="s">
        <v>260</v>
      </c>
      <c r="C190" s="173" t="s">
        <v>244</v>
      </c>
      <c r="D190" s="173" t="s">
        <v>244</v>
      </c>
      <c r="E190" s="173" t="s">
        <v>244</v>
      </c>
      <c r="F190" s="173" t="s">
        <v>244</v>
      </c>
      <c r="G190" s="173" t="s">
        <v>244</v>
      </c>
      <c r="J190" s="94" t="s">
        <v>259</v>
      </c>
      <c r="K190" s="91" t="s">
        <v>260</v>
      </c>
      <c r="L190" s="91" t="s">
        <v>244</v>
      </c>
      <c r="M190" s="91" t="s">
        <v>244</v>
      </c>
      <c r="N190" s="91" t="s">
        <v>244</v>
      </c>
      <c r="O190" s="91" t="s">
        <v>244</v>
      </c>
      <c r="P190" s="91" t="s">
        <v>244</v>
      </c>
    </row>
  </sheetData>
  <mergeCells count="30">
    <mergeCell ref="A13:G13"/>
    <mergeCell ref="A23:G23"/>
    <mergeCell ref="C27:G27"/>
    <mergeCell ref="A33:G33"/>
    <mergeCell ref="A38:G38"/>
    <mergeCell ref="A83:G83"/>
    <mergeCell ref="C87:G87"/>
    <mergeCell ref="A93:G93"/>
    <mergeCell ref="A98:G98"/>
    <mergeCell ref="A43:G43"/>
    <mergeCell ref="A53:G53"/>
    <mergeCell ref="C57:G57"/>
    <mergeCell ref="A63:G63"/>
    <mergeCell ref="A68:G68"/>
    <mergeCell ref="A73:G73"/>
    <mergeCell ref="A103:G103"/>
    <mergeCell ref="A113:G113"/>
    <mergeCell ref="C117:G117"/>
    <mergeCell ref="A189:G189"/>
    <mergeCell ref="A124:G124"/>
    <mergeCell ref="A129:G129"/>
    <mergeCell ref="A134:G134"/>
    <mergeCell ref="A144:G144"/>
    <mergeCell ref="C148:G148"/>
    <mergeCell ref="A154:G154"/>
    <mergeCell ref="A159:G159"/>
    <mergeCell ref="A164:G164"/>
    <mergeCell ref="A174:G174"/>
    <mergeCell ref="C178:G178"/>
    <mergeCell ref="A184:G184"/>
  </mergeCells>
  <pageMargins left="0.7" right="0.7" top="0.75" bottom="0.75" header="0.3" footer="0.3"/>
  <pageSetup orientation="portrait" horizontalDpi="1200" verticalDpi="120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70C0"/>
  </sheetPr>
  <dimension ref="A2:AS292"/>
  <sheetViews>
    <sheetView zoomScale="60" zoomScaleNormal="60" workbookViewId="0">
      <selection activeCell="H21" sqref="H21"/>
    </sheetView>
  </sheetViews>
  <sheetFormatPr defaultColWidth="8.88671875" defaultRowHeight="14.4"/>
  <cols>
    <col min="1" max="1" width="12.44140625" style="144" bestFit="1" customWidth="1"/>
    <col min="2" max="2" width="19.5546875" style="144" customWidth="1"/>
    <col min="3" max="3" width="18" style="144" customWidth="1"/>
    <col min="4" max="4" width="32.109375" style="144" customWidth="1"/>
    <col min="5" max="5" width="32.6640625" style="144" customWidth="1"/>
    <col min="6" max="6" width="17.33203125" style="144" customWidth="1"/>
    <col min="7" max="7" width="31.5546875" style="144" customWidth="1"/>
    <col min="8" max="8" width="13.88671875" style="144" bestFit="1" customWidth="1"/>
    <col min="9" max="9" width="48.109375" style="144" customWidth="1"/>
    <col min="10" max="10" width="15.6640625" style="144" customWidth="1"/>
    <col min="11" max="11" width="17.44140625" style="144" customWidth="1"/>
    <col min="12" max="12" width="8.88671875" style="144"/>
    <col min="13" max="13" width="10.6640625" style="144" customWidth="1"/>
    <col min="14" max="14" width="10.33203125" style="144" customWidth="1"/>
    <col min="15" max="16" width="8.88671875" style="144"/>
    <col min="17" max="17" width="12.44140625" style="144" customWidth="1"/>
    <col min="18" max="28" width="8.88671875" style="144"/>
    <col min="29" max="29" width="12.6640625" style="144" customWidth="1"/>
    <col min="30" max="30" width="16.6640625" style="144" customWidth="1"/>
    <col min="31" max="31" width="19.33203125" style="144" bestFit="1" customWidth="1"/>
    <col min="32" max="34" width="8.88671875" style="144"/>
    <col min="35" max="35" width="15.5546875" style="144" bestFit="1" customWidth="1"/>
    <col min="36" max="37" width="8.88671875" style="144"/>
    <col min="38" max="38" width="11.6640625" style="144" bestFit="1" customWidth="1"/>
    <col min="39" max="48" width="8.88671875" style="144"/>
    <col min="49" max="49" width="9.5546875" style="144" bestFit="1" customWidth="1"/>
    <col min="50" max="16384" width="8.88671875" style="144"/>
  </cols>
  <sheetData>
    <row r="2" spans="2:10">
      <c r="B2" s="144" t="s">
        <v>582</v>
      </c>
    </row>
    <row r="3" spans="2:10">
      <c r="B3" s="144" t="s">
        <v>581</v>
      </c>
      <c r="H3" s="144" t="s">
        <v>547</v>
      </c>
      <c r="I3" s="144" t="s">
        <v>580</v>
      </c>
    </row>
    <row r="4" spans="2:10">
      <c r="B4" s="144" t="s">
        <v>579</v>
      </c>
      <c r="I4" s="144" t="s">
        <v>531</v>
      </c>
      <c r="J4" s="144" t="s">
        <v>578</v>
      </c>
    </row>
    <row r="5" spans="2:10">
      <c r="I5" s="144" t="s">
        <v>541</v>
      </c>
      <c r="J5" s="144" t="s">
        <v>577</v>
      </c>
    </row>
    <row r="9" spans="2:10">
      <c r="E9" s="168" t="s">
        <v>576</v>
      </c>
    </row>
    <row r="12" spans="2:10">
      <c r="E12" s="169" t="s">
        <v>575</v>
      </c>
      <c r="F12" s="168" t="s">
        <v>463</v>
      </c>
      <c r="G12" s="168" t="s">
        <v>152</v>
      </c>
      <c r="H12" s="168" t="s">
        <v>574</v>
      </c>
    </row>
    <row r="13" spans="2:10">
      <c r="E13" s="144" t="str">
        <f t="shared" ref="E13:E16" si="0">F13&amp;G13</f>
        <v>DK1DTS</v>
      </c>
      <c r="F13" s="168" t="s">
        <v>508</v>
      </c>
      <c r="G13" s="168" t="s">
        <v>554</v>
      </c>
      <c r="H13" s="144">
        <v>80</v>
      </c>
    </row>
    <row r="14" spans="2:10">
      <c r="E14" s="144" t="str">
        <f t="shared" si="0"/>
        <v>DK1DGS</v>
      </c>
      <c r="F14" s="168" t="s">
        <v>508</v>
      </c>
      <c r="G14" s="168" t="s">
        <v>553</v>
      </c>
      <c r="H14" s="144">
        <v>65</v>
      </c>
    </row>
    <row r="15" spans="2:10">
      <c r="E15" s="144" t="str">
        <f t="shared" si="0"/>
        <v>DK1DGA</v>
      </c>
      <c r="F15" s="168" t="s">
        <v>508</v>
      </c>
      <c r="G15" s="168" t="s">
        <v>556</v>
      </c>
      <c r="H15" s="144">
        <v>100</v>
      </c>
    </row>
    <row r="16" spans="2:10">
      <c r="E16" s="144" t="str">
        <f t="shared" si="0"/>
        <v>DK1NSF</v>
      </c>
      <c r="F16" s="168" t="s">
        <v>508</v>
      </c>
      <c r="G16" s="170" t="s">
        <v>544</v>
      </c>
      <c r="H16" s="144">
        <v>500</v>
      </c>
    </row>
    <row r="17" spans="2:10">
      <c r="B17" s="144" t="s">
        <v>573</v>
      </c>
      <c r="E17" s="144" t="str">
        <f t="shared" ref="E17:E41" si="1">F17&amp;G17</f>
        <v>DK1DHF</v>
      </c>
      <c r="F17" s="144" t="s">
        <v>508</v>
      </c>
      <c r="G17" s="144" t="s">
        <v>548</v>
      </c>
      <c r="H17" s="144">
        <v>200</v>
      </c>
    </row>
    <row r="18" spans="2:10">
      <c r="E18" s="144" t="str">
        <f t="shared" si="1"/>
        <v>DK2DZS</v>
      </c>
      <c r="F18" s="169" t="s">
        <v>503</v>
      </c>
      <c r="G18" s="168" t="s">
        <v>551</v>
      </c>
      <c r="H18" s="144">
        <v>60</v>
      </c>
    </row>
    <row r="19" spans="2:10">
      <c r="E19" s="144" t="str">
        <f t="shared" si="1"/>
        <v>DK2NSF</v>
      </c>
      <c r="F19" s="168" t="s">
        <v>503</v>
      </c>
      <c r="G19" s="170" t="s">
        <v>544</v>
      </c>
      <c r="H19" s="144">
        <v>900</v>
      </c>
    </row>
    <row r="20" spans="2:10">
      <c r="E20" s="144" t="str">
        <f t="shared" si="1"/>
        <v>DK2SAA</v>
      </c>
      <c r="F20" s="168" t="s">
        <v>503</v>
      </c>
      <c r="G20" s="168" t="s">
        <v>534</v>
      </c>
      <c r="H20" s="144">
        <v>40</v>
      </c>
    </row>
    <row r="21" spans="2:10">
      <c r="E21" s="144" t="str">
        <f t="shared" si="1"/>
        <v>DK2DHF</v>
      </c>
      <c r="F21" s="144" t="s">
        <v>503</v>
      </c>
      <c r="G21" s="144" t="s">
        <v>548</v>
      </c>
      <c r="H21" s="144">
        <v>400</v>
      </c>
      <c r="J21" s="169"/>
    </row>
    <row r="22" spans="2:10">
      <c r="E22" s="144" t="str">
        <f t="shared" si="1"/>
        <v>SE1SFA</v>
      </c>
      <c r="F22" s="168" t="s">
        <v>445</v>
      </c>
      <c r="G22" s="168" t="s">
        <v>532</v>
      </c>
      <c r="H22" s="144">
        <v>1060</v>
      </c>
    </row>
    <row r="23" spans="2:10">
      <c r="E23" s="144" t="str">
        <f t="shared" si="1"/>
        <v>SE1NSF</v>
      </c>
      <c r="F23" s="168" t="s">
        <v>445</v>
      </c>
      <c r="G23" s="170" t="s">
        <v>544</v>
      </c>
      <c r="H23" s="144">
        <v>2400</v>
      </c>
      <c r="J23" s="169"/>
    </row>
    <row r="24" spans="2:10">
      <c r="E24" s="144" t="str">
        <f t="shared" si="1"/>
        <v>SE2SFA</v>
      </c>
      <c r="F24" s="168" t="s">
        <v>446</v>
      </c>
      <c r="G24" s="168" t="s">
        <v>532</v>
      </c>
      <c r="H24" s="144">
        <v>730</v>
      </c>
    </row>
    <row r="25" spans="2:10">
      <c r="E25" s="144" t="str">
        <f t="shared" si="1"/>
        <v>SE2NSF</v>
      </c>
      <c r="F25" s="168" t="s">
        <v>446</v>
      </c>
      <c r="G25" s="170" t="s">
        <v>544</v>
      </c>
      <c r="H25" s="144">
        <v>2000</v>
      </c>
    </row>
    <row r="26" spans="2:10">
      <c r="E26" s="144" t="str">
        <f t="shared" si="1"/>
        <v>SE3SFA</v>
      </c>
      <c r="F26" s="168" t="s">
        <v>473</v>
      </c>
      <c r="G26" s="168" t="s">
        <v>532</v>
      </c>
      <c r="H26" s="144">
        <v>280</v>
      </c>
    </row>
    <row r="27" spans="2:10">
      <c r="E27" s="144" t="str">
        <f t="shared" si="1"/>
        <v>SE3SAA</v>
      </c>
      <c r="F27" s="168" t="s">
        <v>473</v>
      </c>
      <c r="G27" s="169" t="s">
        <v>534</v>
      </c>
      <c r="H27" s="144">
        <v>325</v>
      </c>
    </row>
    <row r="28" spans="2:10">
      <c r="E28" s="144" t="str">
        <f t="shared" si="1"/>
        <v>SE3NSF</v>
      </c>
      <c r="F28" s="168" t="s">
        <v>473</v>
      </c>
      <c r="G28" s="170" t="s">
        <v>544</v>
      </c>
      <c r="H28" s="144">
        <v>615</v>
      </c>
    </row>
    <row r="29" spans="2:10">
      <c r="E29" s="144" t="str">
        <f t="shared" si="1"/>
        <v>SE4DZS</v>
      </c>
      <c r="F29" s="168" t="s">
        <v>572</v>
      </c>
      <c r="G29" s="168" t="s">
        <v>551</v>
      </c>
      <c r="H29" s="144">
        <v>60</v>
      </c>
    </row>
    <row r="30" spans="2:10">
      <c r="E30" s="144" t="str">
        <f t="shared" si="1"/>
        <v>SE4NSF</v>
      </c>
      <c r="F30" s="168" t="s">
        <v>572</v>
      </c>
      <c r="G30" s="170" t="s">
        <v>544</v>
      </c>
      <c r="H30" s="144">
        <v>900</v>
      </c>
    </row>
    <row r="31" spans="2:10">
      <c r="E31" s="144" t="str">
        <f t="shared" si="1"/>
        <v>SE4SAA</v>
      </c>
      <c r="F31" s="168" t="s">
        <v>572</v>
      </c>
      <c r="G31" s="168" t="s">
        <v>534</v>
      </c>
      <c r="H31" s="144">
        <v>40</v>
      </c>
    </row>
    <row r="32" spans="2:10">
      <c r="E32" s="144" t="str">
        <f t="shared" si="1"/>
        <v>NO1DHS</v>
      </c>
      <c r="F32" s="168" t="s">
        <v>501</v>
      </c>
      <c r="G32" s="168" t="s">
        <v>555</v>
      </c>
      <c r="H32" s="144">
        <v>250</v>
      </c>
    </row>
    <row r="33" spans="4:10">
      <c r="E33" s="144" t="str">
        <f t="shared" si="1"/>
        <v>NO1DGA</v>
      </c>
      <c r="F33" s="168" t="s">
        <v>501</v>
      </c>
      <c r="G33" s="168" t="s">
        <v>556</v>
      </c>
      <c r="H33" s="144">
        <v>180</v>
      </c>
    </row>
    <row r="34" spans="4:10">
      <c r="E34" s="144" t="str">
        <f t="shared" si="1"/>
        <v>NO1NSF</v>
      </c>
      <c r="F34" s="168" t="s">
        <v>501</v>
      </c>
      <c r="G34" s="170" t="s">
        <v>544</v>
      </c>
      <c r="H34" s="144">
        <v>550</v>
      </c>
    </row>
    <row r="35" spans="4:10">
      <c r="E35" s="144" t="str">
        <f t="shared" si="1"/>
        <v>NO2NSA</v>
      </c>
      <c r="F35" s="168" t="s">
        <v>488</v>
      </c>
      <c r="G35" s="168" t="s">
        <v>546</v>
      </c>
      <c r="H35" s="144">
        <v>150</v>
      </c>
    </row>
    <row r="36" spans="4:10">
      <c r="E36" s="144" t="str">
        <f t="shared" si="1"/>
        <v>NO2NMF</v>
      </c>
      <c r="F36" s="168" t="s">
        <v>488</v>
      </c>
      <c r="G36" s="168" t="s">
        <v>571</v>
      </c>
      <c r="H36" s="144">
        <v>720</v>
      </c>
    </row>
    <row r="37" spans="4:10">
      <c r="E37" s="144" t="str">
        <f t="shared" si="1"/>
        <v>NO2NSF</v>
      </c>
      <c r="F37" s="168" t="s">
        <v>488</v>
      </c>
      <c r="G37" s="190" t="s">
        <v>544</v>
      </c>
      <c r="H37" s="144">
        <v>150</v>
      </c>
    </row>
    <row r="38" spans="4:10">
      <c r="E38" s="144" t="str">
        <f t="shared" si="1"/>
        <v>NO5NGA</v>
      </c>
      <c r="F38" s="168" t="s">
        <v>485</v>
      </c>
      <c r="G38" s="168" t="s">
        <v>72</v>
      </c>
      <c r="H38" s="144">
        <v>600</v>
      </c>
    </row>
    <row r="39" spans="4:10">
      <c r="E39" s="144" t="str">
        <f t="shared" si="1"/>
        <v>NO5NSA</v>
      </c>
      <c r="F39" s="168" t="s">
        <v>485</v>
      </c>
      <c r="G39" s="168" t="s">
        <v>546</v>
      </c>
      <c r="H39" s="144">
        <v>180</v>
      </c>
    </row>
    <row r="40" spans="4:10">
      <c r="E40" s="144" t="str">
        <f t="shared" si="1"/>
        <v>NO5NSF</v>
      </c>
      <c r="F40" s="168" t="s">
        <v>485</v>
      </c>
      <c r="G40" s="168" t="s">
        <v>544</v>
      </c>
      <c r="H40" s="144">
        <v>180</v>
      </c>
    </row>
    <row r="41" spans="4:10">
      <c r="E41" s="144" t="str">
        <f t="shared" si="1"/>
        <v>NO5NMF</v>
      </c>
      <c r="F41" s="168" t="s">
        <v>485</v>
      </c>
      <c r="G41" s="169" t="s">
        <v>571</v>
      </c>
      <c r="H41" s="144">
        <v>600</v>
      </c>
    </row>
    <row r="42" spans="4:10">
      <c r="D42" s="169" t="s">
        <v>570</v>
      </c>
    </row>
    <row r="44" spans="4:10">
      <c r="D44" s="144" t="s">
        <v>562</v>
      </c>
      <c r="E44" s="144" t="s">
        <v>561</v>
      </c>
      <c r="F44" s="168" t="s">
        <v>560</v>
      </c>
      <c r="G44" s="144" t="s">
        <v>559</v>
      </c>
      <c r="H44" s="144" t="s">
        <v>558</v>
      </c>
      <c r="I44" s="144" t="s">
        <v>557</v>
      </c>
    </row>
    <row r="45" spans="4:10">
      <c r="D45" s="144" t="s">
        <v>480</v>
      </c>
      <c r="E45" s="144" t="s">
        <v>499</v>
      </c>
      <c r="F45" s="168" t="s">
        <v>556</v>
      </c>
      <c r="G45" s="144">
        <f t="shared" ref="G45:I58" si="2">G78</f>
        <v>3.7</v>
      </c>
      <c r="H45" s="144">
        <f t="shared" si="2"/>
        <v>0.6166666666666667</v>
      </c>
      <c r="I45" s="144">
        <f t="shared" si="2"/>
        <v>616.66666666666674</v>
      </c>
      <c r="J45" s="144" t="s">
        <v>531</v>
      </c>
    </row>
    <row r="46" spans="4:10">
      <c r="D46" s="144" t="s">
        <v>417</v>
      </c>
      <c r="E46" s="144" t="s">
        <v>497</v>
      </c>
      <c r="F46" s="168" t="s">
        <v>555</v>
      </c>
      <c r="G46" s="144">
        <f t="shared" si="2"/>
        <v>2.8</v>
      </c>
      <c r="H46" s="144">
        <f t="shared" si="2"/>
        <v>0.46666666666666662</v>
      </c>
      <c r="I46" s="144">
        <f t="shared" si="2"/>
        <v>466.66666666666663</v>
      </c>
      <c r="J46" s="144" t="s">
        <v>531</v>
      </c>
    </row>
    <row r="47" spans="4:10">
      <c r="D47" s="144" t="s">
        <v>417</v>
      </c>
      <c r="E47" s="144" t="s">
        <v>525</v>
      </c>
      <c r="F47" s="168" t="s">
        <v>554</v>
      </c>
      <c r="G47" s="144">
        <f t="shared" si="2"/>
        <v>11</v>
      </c>
      <c r="H47" s="144">
        <f t="shared" si="2"/>
        <v>5.5</v>
      </c>
      <c r="I47" s="144">
        <f t="shared" si="2"/>
        <v>5500</v>
      </c>
      <c r="J47" s="144" t="s">
        <v>547</v>
      </c>
    </row>
    <row r="48" spans="4:10">
      <c r="D48" s="144" t="s">
        <v>417</v>
      </c>
      <c r="E48" s="144" t="s">
        <v>524</v>
      </c>
      <c r="F48" s="168" t="s">
        <v>553</v>
      </c>
      <c r="G48" s="144">
        <f t="shared" si="2"/>
        <v>0.6</v>
      </c>
      <c r="H48" s="144">
        <f t="shared" si="2"/>
        <v>0.3</v>
      </c>
      <c r="I48" s="144">
        <f t="shared" si="2"/>
        <v>300</v>
      </c>
      <c r="J48" s="144" t="s">
        <v>547</v>
      </c>
    </row>
    <row r="49" spans="4:30">
      <c r="D49" s="170" t="s">
        <v>417</v>
      </c>
      <c r="E49" s="170" t="s">
        <v>523</v>
      </c>
      <c r="F49" s="170" t="s">
        <v>552</v>
      </c>
      <c r="G49" s="170">
        <f t="shared" si="2"/>
        <v>0.48</v>
      </c>
      <c r="H49" s="170">
        <f t="shared" si="2"/>
        <v>0.24</v>
      </c>
      <c r="I49" s="170">
        <f t="shared" si="2"/>
        <v>240</v>
      </c>
      <c r="J49" s="170" t="s">
        <v>547</v>
      </c>
    </row>
    <row r="50" spans="4:30">
      <c r="D50" s="144" t="s">
        <v>417</v>
      </c>
      <c r="E50" s="144" t="s">
        <v>522</v>
      </c>
      <c r="F50" s="168" t="s">
        <v>551</v>
      </c>
      <c r="G50" s="144">
        <f t="shared" si="2"/>
        <v>1.1500000000000001</v>
      </c>
      <c r="H50" s="144">
        <f t="shared" si="2"/>
        <v>0.57500000000000007</v>
      </c>
      <c r="I50" s="144">
        <f t="shared" si="2"/>
        <v>575.00000000000011</v>
      </c>
      <c r="J50" s="144" t="s">
        <v>547</v>
      </c>
    </row>
    <row r="51" spans="4:30">
      <c r="D51" s="170" t="s">
        <v>417</v>
      </c>
      <c r="E51" s="170" t="s">
        <v>549</v>
      </c>
      <c r="F51" s="170" t="s">
        <v>548</v>
      </c>
      <c r="G51" s="170">
        <f t="shared" si="2"/>
        <v>2.2000000000000002</v>
      </c>
      <c r="H51" s="170">
        <f t="shared" si="2"/>
        <v>1.1000000000000001</v>
      </c>
      <c r="I51" s="170">
        <f t="shared" si="2"/>
        <v>1100</v>
      </c>
      <c r="J51" s="170" t="s">
        <v>541</v>
      </c>
    </row>
    <row r="52" spans="4:30">
      <c r="D52" s="144" t="s">
        <v>416</v>
      </c>
      <c r="E52" s="144" t="s">
        <v>496</v>
      </c>
      <c r="F52" s="168" t="s">
        <v>546</v>
      </c>
      <c r="G52" s="144">
        <f t="shared" si="2"/>
        <v>41.949999999999996</v>
      </c>
      <c r="H52" s="144">
        <f t="shared" si="2"/>
        <v>6.9916666666666663</v>
      </c>
      <c r="I52" s="144">
        <f t="shared" si="2"/>
        <v>6991.6666666666661</v>
      </c>
      <c r="J52" s="144" t="s">
        <v>531</v>
      </c>
    </row>
    <row r="53" spans="4:30">
      <c r="D53" s="144" t="s">
        <v>416</v>
      </c>
      <c r="E53" s="144" t="s">
        <v>495</v>
      </c>
      <c r="F53" s="168" t="s">
        <v>544</v>
      </c>
      <c r="G53" s="144">
        <f t="shared" si="2"/>
        <v>9</v>
      </c>
      <c r="H53" s="144">
        <f t="shared" si="2"/>
        <v>1.5</v>
      </c>
      <c r="I53" s="144">
        <f t="shared" si="2"/>
        <v>1500</v>
      </c>
      <c r="J53" s="144" t="s">
        <v>541</v>
      </c>
    </row>
    <row r="54" spans="4:30">
      <c r="D54" s="144" t="s">
        <v>416</v>
      </c>
      <c r="E54" s="144" t="s">
        <v>493</v>
      </c>
      <c r="F54" s="168" t="s">
        <v>543</v>
      </c>
      <c r="G54" s="144">
        <f t="shared" si="2"/>
        <v>9</v>
      </c>
      <c r="H54" s="144">
        <f t="shared" si="2"/>
        <v>3</v>
      </c>
      <c r="I54" s="144">
        <f t="shared" si="2"/>
        <v>3000</v>
      </c>
      <c r="J54" s="144" t="s">
        <v>541</v>
      </c>
    </row>
    <row r="55" spans="4:30">
      <c r="D55" s="170" t="s">
        <v>416</v>
      </c>
      <c r="E55" s="170" t="s">
        <v>491</v>
      </c>
      <c r="F55" s="170" t="s">
        <v>542</v>
      </c>
      <c r="G55" s="170">
        <f t="shared" si="2"/>
        <v>9</v>
      </c>
      <c r="H55" s="170">
        <f t="shared" si="2"/>
        <v>3</v>
      </c>
      <c r="I55" s="170">
        <f t="shared" si="2"/>
        <v>3000</v>
      </c>
      <c r="J55" s="170" t="s">
        <v>541</v>
      </c>
    </row>
    <row r="56" spans="4:30">
      <c r="D56" s="144" t="s">
        <v>416</v>
      </c>
      <c r="E56" s="144" t="s">
        <v>489</v>
      </c>
      <c r="F56" s="168" t="s">
        <v>72</v>
      </c>
      <c r="G56" s="144">
        <f t="shared" si="2"/>
        <v>8</v>
      </c>
      <c r="H56" s="144">
        <f t="shared" si="2"/>
        <v>2.6666666666666665</v>
      </c>
      <c r="I56" s="144">
        <f t="shared" si="2"/>
        <v>2666.6666666666665</v>
      </c>
      <c r="J56" s="144" t="s">
        <v>531</v>
      </c>
      <c r="K56" s="189"/>
    </row>
    <row r="57" spans="4:30">
      <c r="D57" s="144" t="s">
        <v>419</v>
      </c>
      <c r="E57" s="144" t="s">
        <v>479</v>
      </c>
      <c r="F57" s="168" t="s">
        <v>534</v>
      </c>
      <c r="G57" s="144">
        <f t="shared" si="2"/>
        <v>1</v>
      </c>
      <c r="H57" s="144">
        <f t="shared" si="2"/>
        <v>0.2</v>
      </c>
      <c r="I57" s="144">
        <f t="shared" si="2"/>
        <v>200</v>
      </c>
      <c r="J57" s="144" t="s">
        <v>531</v>
      </c>
      <c r="K57" s="189"/>
    </row>
    <row r="58" spans="4:30">
      <c r="D58" s="144" t="s">
        <v>419</v>
      </c>
      <c r="E58" s="144" t="s">
        <v>424</v>
      </c>
      <c r="F58" s="168" t="s">
        <v>532</v>
      </c>
      <c r="G58" s="144">
        <f t="shared" si="2"/>
        <v>0.7</v>
      </c>
      <c r="H58" s="144">
        <f t="shared" si="2"/>
        <v>0.13999999999999999</v>
      </c>
      <c r="I58" s="144">
        <f t="shared" si="2"/>
        <v>139.99999999999997</v>
      </c>
      <c r="J58" s="144" t="s">
        <v>531</v>
      </c>
      <c r="K58" s="189"/>
      <c r="AB58" s="180"/>
      <c r="AD58" s="180"/>
    </row>
    <row r="59" spans="4:30">
      <c r="F59" s="189"/>
      <c r="G59" s="189"/>
      <c r="H59" s="189"/>
      <c r="I59" s="189"/>
      <c r="J59" s="189"/>
      <c r="K59" s="189"/>
    </row>
    <row r="60" spans="4:30">
      <c r="F60" s="189"/>
      <c r="G60" s="189"/>
      <c r="H60" s="189"/>
      <c r="I60" s="189"/>
      <c r="J60" s="189"/>
      <c r="K60" s="189"/>
    </row>
    <row r="61" spans="4:30">
      <c r="F61" s="189"/>
      <c r="G61" s="189"/>
      <c r="H61" s="189"/>
      <c r="I61" s="189"/>
      <c r="J61" s="189"/>
      <c r="K61" s="189"/>
    </row>
    <row r="62" spans="4:30">
      <c r="F62" s="189"/>
      <c r="G62" s="189"/>
      <c r="H62" s="189"/>
      <c r="I62" s="189"/>
      <c r="J62" s="189"/>
      <c r="K62" s="189"/>
    </row>
    <row r="63" spans="4:30">
      <c r="F63" s="189"/>
      <c r="G63" s="189"/>
      <c r="H63" s="189"/>
      <c r="I63" s="189"/>
      <c r="J63" s="189"/>
      <c r="K63" s="189"/>
    </row>
    <row r="64" spans="4:30">
      <c r="F64" s="189"/>
      <c r="G64" s="189"/>
      <c r="H64" s="189"/>
      <c r="I64" s="189"/>
      <c r="J64" s="189"/>
      <c r="K64" s="189"/>
    </row>
    <row r="65" spans="2:45">
      <c r="F65" s="189"/>
      <c r="G65" s="189"/>
      <c r="H65" s="189"/>
      <c r="I65" s="189"/>
      <c r="J65" s="189"/>
      <c r="K65" s="189"/>
    </row>
    <row r="66" spans="2:45">
      <c r="F66" s="189"/>
      <c r="G66" s="189"/>
      <c r="H66" s="189"/>
      <c r="I66" s="189"/>
      <c r="J66" s="189"/>
      <c r="K66" s="189"/>
    </row>
    <row r="67" spans="2:45" s="188" customFormat="1" ht="15" thickBot="1"/>
    <row r="69" spans="2:45">
      <c r="B69" s="187" t="s">
        <v>569</v>
      </c>
    </row>
    <row r="73" spans="2:45">
      <c r="AI73" s="144" t="s">
        <v>568</v>
      </c>
    </row>
    <row r="74" spans="2:45">
      <c r="AJ74" s="144" t="s">
        <v>448</v>
      </c>
      <c r="AK74" s="144" t="s">
        <v>567</v>
      </c>
      <c r="AM74" s="144" t="s">
        <v>448</v>
      </c>
      <c r="AN74" s="144" t="s">
        <v>566</v>
      </c>
      <c r="AP74" s="144" t="s">
        <v>447</v>
      </c>
      <c r="AQ74" s="144" t="s">
        <v>566</v>
      </c>
    </row>
    <row r="75" spans="2:45">
      <c r="AD75" s="144" t="s">
        <v>448</v>
      </c>
      <c r="AF75" s="144" t="s">
        <v>447</v>
      </c>
      <c r="AJ75" s="144" t="s">
        <v>565</v>
      </c>
      <c r="AK75" s="144" t="s">
        <v>537</v>
      </c>
      <c r="AL75" s="144" t="s">
        <v>536</v>
      </c>
      <c r="AM75" s="144" t="s">
        <v>535</v>
      </c>
      <c r="AN75" s="144" t="s">
        <v>537</v>
      </c>
      <c r="AO75" s="144" t="s">
        <v>536</v>
      </c>
      <c r="AP75" s="144" t="s">
        <v>535</v>
      </c>
      <c r="AQ75" s="144" t="s">
        <v>537</v>
      </c>
      <c r="AR75" s="144" t="s">
        <v>536</v>
      </c>
      <c r="AS75" s="144" t="s">
        <v>535</v>
      </c>
    </row>
    <row r="76" spans="2:45">
      <c r="AA76" s="144" t="s">
        <v>463</v>
      </c>
      <c r="AC76" s="144" t="s">
        <v>444</v>
      </c>
      <c r="AD76" s="144" t="s">
        <v>443</v>
      </c>
      <c r="AE76" s="144" t="s">
        <v>444</v>
      </c>
      <c r="AF76" s="144" t="s">
        <v>443</v>
      </c>
      <c r="AJ76" s="144" t="s">
        <v>508</v>
      </c>
      <c r="AK76" s="144">
        <f>AC77</f>
        <v>98.333333333333329</v>
      </c>
      <c r="AL76" s="144">
        <f>AC79</f>
        <v>350</v>
      </c>
      <c r="AM76" s="144">
        <f>AC81</f>
        <v>0</v>
      </c>
      <c r="AN76" s="144">
        <f>AC78</f>
        <v>115</v>
      </c>
      <c r="AO76" s="180">
        <f>AC80</f>
        <v>395</v>
      </c>
      <c r="AP76" s="144">
        <f>AC82</f>
        <v>660</v>
      </c>
      <c r="AQ76" s="144">
        <f>AE78</f>
        <v>0</v>
      </c>
      <c r="AR76" s="180">
        <f>AE80</f>
        <v>450</v>
      </c>
      <c r="AS76" s="144">
        <f>AE82</f>
        <v>0</v>
      </c>
    </row>
    <row r="77" spans="2:45">
      <c r="B77" s="144" t="s">
        <v>564</v>
      </c>
      <c r="C77" s="144" t="s">
        <v>563</v>
      </c>
      <c r="D77" s="144" t="s">
        <v>562</v>
      </c>
      <c r="E77" s="144" t="s">
        <v>561</v>
      </c>
      <c r="F77" s="168" t="s">
        <v>560</v>
      </c>
      <c r="G77" s="144" t="s">
        <v>559</v>
      </c>
      <c r="H77" s="144" t="s">
        <v>558</v>
      </c>
      <c r="I77" s="144" t="s">
        <v>557</v>
      </c>
      <c r="L77" s="144" t="s">
        <v>508</v>
      </c>
      <c r="M77" s="144" t="s">
        <v>503</v>
      </c>
      <c r="N77" s="144" t="s">
        <v>501</v>
      </c>
      <c r="O77" s="144" t="s">
        <v>488</v>
      </c>
      <c r="P77" s="144" t="s">
        <v>485</v>
      </c>
      <c r="Q77" s="144" t="s">
        <v>445</v>
      </c>
      <c r="R77" s="144" t="s">
        <v>446</v>
      </c>
      <c r="S77" s="144" t="s">
        <v>473</v>
      </c>
      <c r="T77" s="144" t="s">
        <v>517</v>
      </c>
      <c r="AA77" s="144" t="s">
        <v>508</v>
      </c>
      <c r="AB77" s="144" t="s">
        <v>336</v>
      </c>
      <c r="AC77" s="144">
        <f>IFERROR(AVERAGEIFS($J$100:$J$110,$J$100:$J$110,"&lt;=180",$H$100:$H$110,"=Onshore",$D$100:$D$110,"=Saline"),0)</f>
        <v>98.333333333333329</v>
      </c>
      <c r="AD77" s="144">
        <f>IFERROR(SUMIFS($I$100:$I$110,$J$100:$J$110,"&lt;=180",$H$100:$H$110,"=Onshore",$D$100:$D$110,"=Saline"),0)</f>
        <v>6.04</v>
      </c>
      <c r="AE77" s="144">
        <f>IFERROR(AVERAGEIFS($J$100:$J$110,$J$100:$J$110,"&lt;=180",$H$100:$H$110,"=Onshore",$D$100:$D$110,"=Carbon"),0)</f>
        <v>0</v>
      </c>
      <c r="AF77" s="144">
        <f>IFERROR(SUMIFS($I$100:$I$110,$J$100:$J$110,"&lt;=180",$H$100:$H$110,"=Onshore",$D$100:$D$110,"=Carbon"),0)</f>
        <v>0</v>
      </c>
      <c r="AJ77" s="144" t="s">
        <v>503</v>
      </c>
      <c r="AK77" s="144">
        <f>AC83</f>
        <v>60</v>
      </c>
      <c r="AL77" s="144">
        <f>AC85</f>
        <v>333.33333333333331</v>
      </c>
      <c r="AM77" s="144">
        <f>AC87</f>
        <v>0</v>
      </c>
      <c r="AN77" s="144">
        <f>AC84</f>
        <v>40</v>
      </c>
      <c r="AO77" s="180">
        <f>AC86</f>
        <v>423.33333333333331</v>
      </c>
      <c r="AP77" s="144">
        <f>AC88</f>
        <v>880</v>
      </c>
      <c r="AQ77" s="144">
        <f>AE84</f>
        <v>0</v>
      </c>
      <c r="AR77" s="180">
        <f>AE86</f>
        <v>340</v>
      </c>
      <c r="AS77" s="144">
        <f>AE88</f>
        <v>900</v>
      </c>
    </row>
    <row r="78" spans="2:45">
      <c r="B78" s="144">
        <v>6</v>
      </c>
      <c r="C78" s="144" t="s">
        <v>545</v>
      </c>
      <c r="D78" s="144" t="s">
        <v>480</v>
      </c>
      <c r="E78" s="144" t="s">
        <v>499</v>
      </c>
      <c r="F78" s="168" t="s">
        <v>556</v>
      </c>
      <c r="G78" s="144">
        <f>E272</f>
        <v>3.7</v>
      </c>
      <c r="H78" s="144">
        <f t="shared" ref="H78:H91" si="3">G78/B78</f>
        <v>0.6166666666666667</v>
      </c>
      <c r="I78" s="144">
        <f t="shared" ref="I78:I91" si="4">H78*1000</f>
        <v>616.66666666666674</v>
      </c>
      <c r="J78" s="144" t="s">
        <v>531</v>
      </c>
      <c r="K78" s="144" t="s">
        <v>531</v>
      </c>
      <c r="L78" s="144">
        <f>I78+I79+I85+I90+I91</f>
        <v>8415</v>
      </c>
      <c r="M78" s="144">
        <f>L78</f>
        <v>8415</v>
      </c>
      <c r="N78" s="144">
        <f>I78+I79+I85+I89</f>
        <v>10741.666666666666</v>
      </c>
      <c r="O78" s="144">
        <f>I78+I79+I85+I89</f>
        <v>10741.666666666666</v>
      </c>
      <c r="P78" s="144">
        <f>O78</f>
        <v>10741.666666666666</v>
      </c>
      <c r="Q78" s="144">
        <f>I90+I91</f>
        <v>340</v>
      </c>
      <c r="R78" s="144">
        <f>Q78</f>
        <v>340</v>
      </c>
      <c r="S78" s="144">
        <f>I78+I79+I85+I90+I91</f>
        <v>8415</v>
      </c>
      <c r="T78" s="144">
        <f>SUM(L78:S78)</f>
        <v>58149.999999999993</v>
      </c>
      <c r="AB78" s="144" t="s">
        <v>337</v>
      </c>
      <c r="AC78" s="144">
        <f>IFERROR(AVERAGEIFS($J$100:$J$110,$J$100:$J$110,"&lt;=180",$H$100:$H$110,"=Offshore",$D$100:$D$110,"=Saline"),0)</f>
        <v>115</v>
      </c>
      <c r="AD78" s="144">
        <f>IFERROR(SUMIFS($I$100:$I$110,$J$100:$J$110,"&lt;=180",$H$100:$H$110,"=Offshore",$D$100:$D$110,"=Saline"),0)</f>
        <v>1.0833333333333333</v>
      </c>
      <c r="AE78" s="144">
        <f>IFERROR(AVERAGEIFS($J$100:$J$110,$J$100:$J$110,"&lt;=180",$H$100:$H$110,"=Offshore",$D$100:$D$110,"=Carbon"),0)</f>
        <v>0</v>
      </c>
      <c r="AF78" s="144">
        <f>IFERROR(SUMIFS($I$100:$I$110,$J$100:$J$110,"&lt;=180",$H$100:$H$110,"=Offshore",$D$100:$D$110,"=Carbon"),0)</f>
        <v>0</v>
      </c>
      <c r="AJ78" s="144" t="s">
        <v>501</v>
      </c>
      <c r="AK78" s="144">
        <f>AC89</f>
        <v>0</v>
      </c>
      <c r="AL78" s="144">
        <f>AC91</f>
        <v>0</v>
      </c>
      <c r="AM78" s="144">
        <f>AC93</f>
        <v>0</v>
      </c>
      <c r="AN78" s="144">
        <f>AC90</f>
        <v>180</v>
      </c>
      <c r="AO78" s="180">
        <f>AC92</f>
        <v>250</v>
      </c>
      <c r="AP78" s="144">
        <f>AC94</f>
        <v>955</v>
      </c>
      <c r="AQ78" s="144">
        <f>AE90</f>
        <v>0</v>
      </c>
      <c r="AR78" s="180">
        <f>AE92</f>
        <v>0</v>
      </c>
      <c r="AS78" s="144">
        <f>AE94</f>
        <v>1310</v>
      </c>
    </row>
    <row r="79" spans="2:45">
      <c r="B79" s="144">
        <v>6</v>
      </c>
      <c r="C79" s="144" t="s">
        <v>545</v>
      </c>
      <c r="D79" s="144" t="s">
        <v>417</v>
      </c>
      <c r="E79" s="144" t="s">
        <v>497</v>
      </c>
      <c r="F79" s="168" t="s">
        <v>555</v>
      </c>
      <c r="G79" s="144">
        <f>E276</f>
        <v>2.8</v>
      </c>
      <c r="H79" s="144">
        <f t="shared" si="3"/>
        <v>0.46666666666666662</v>
      </c>
      <c r="I79" s="144">
        <f t="shared" si="4"/>
        <v>466.66666666666663</v>
      </c>
      <c r="J79" s="144" t="s">
        <v>531</v>
      </c>
      <c r="K79" s="144" t="s">
        <v>547</v>
      </c>
      <c r="L79" s="144">
        <f>I80+I81+I82+I83</f>
        <v>6615</v>
      </c>
      <c r="M79" s="144">
        <f>L79</f>
        <v>6615</v>
      </c>
      <c r="N79" s="144">
        <v>0</v>
      </c>
      <c r="O79" s="144">
        <v>0</v>
      </c>
      <c r="P79" s="144">
        <f>O79</f>
        <v>0</v>
      </c>
      <c r="Q79" s="144">
        <v>0</v>
      </c>
      <c r="R79" s="144">
        <f>Q79</f>
        <v>0</v>
      </c>
      <c r="S79" s="144">
        <v>0</v>
      </c>
      <c r="T79" s="144">
        <f>SUM(L79:S79)</f>
        <v>13230</v>
      </c>
      <c r="AB79" s="144" t="s">
        <v>336</v>
      </c>
      <c r="AC79" s="144">
        <f>IFERROR(AVERAGEIFS($J$100:$J$110,$J$100:$J$110,"&gt;180",$J$100:$J$110,"&lt;=500",$H$100:$H$110,"=Onshore",$D$100:$D$110,"=Saline"),0)</f>
        <v>350</v>
      </c>
      <c r="AD79" s="144">
        <f>SUMIFS($I$100:$I$110,$J$100:$J$110,"&gt;180",$J$100:$J$110,"&lt;=500",$H$100:$H$110,"=Onshore",$D$100:$D$110,"=Saline")</f>
        <v>0.57500000000000007</v>
      </c>
      <c r="AE79" s="144">
        <f>IFERROR(AVERAGEIFS($J$100:$J$110,$J$100:$J$110,"&gt;180",$J$100:$J$110,"&lt;=500",$H$100:$H$110,"=Onshore",$D$100:$D$110,"=Carbon"),0)</f>
        <v>0</v>
      </c>
      <c r="AF79" s="144">
        <f>SUMIFS($I$100:$I$110,$J$100:$J$110,"&gt;180",$J$100:$J$110,"&lt;=500",$H$100:$H$110,"=Onshore",$D$100:$D$110,"=Carbon")</f>
        <v>0</v>
      </c>
      <c r="AJ79" s="144" t="s">
        <v>488</v>
      </c>
      <c r="AK79" s="144">
        <f>AC95</f>
        <v>0</v>
      </c>
      <c r="AL79" s="144">
        <f>AC97</f>
        <v>0</v>
      </c>
      <c r="AM79" s="144">
        <f>AC99</f>
        <v>0</v>
      </c>
      <c r="AN79" s="144">
        <f>AC96</f>
        <v>150</v>
      </c>
      <c r="AO79" s="180">
        <f>AC98</f>
        <v>330</v>
      </c>
      <c r="AP79" s="144">
        <f>AC100</f>
        <v>720</v>
      </c>
      <c r="AQ79" s="144">
        <f>AE96</f>
        <v>150</v>
      </c>
      <c r="AR79" s="180">
        <f>AE98</f>
        <v>0</v>
      </c>
      <c r="AS79" s="144">
        <f>AE100</f>
        <v>1110</v>
      </c>
    </row>
    <row r="80" spans="2:45">
      <c r="B80" s="144">
        <v>2</v>
      </c>
      <c r="C80" s="144" t="s">
        <v>550</v>
      </c>
      <c r="D80" s="144" t="s">
        <v>417</v>
      </c>
      <c r="E80" s="144" t="s">
        <v>525</v>
      </c>
      <c r="F80" s="168" t="s">
        <v>554</v>
      </c>
      <c r="G80" s="144">
        <f>E274</f>
        <v>11</v>
      </c>
      <c r="H80" s="144">
        <f t="shared" si="3"/>
        <v>5.5</v>
      </c>
      <c r="I80" s="144">
        <f t="shared" si="4"/>
        <v>5500</v>
      </c>
      <c r="J80" s="144" t="s">
        <v>547</v>
      </c>
      <c r="K80" s="144" t="s">
        <v>541</v>
      </c>
      <c r="L80" s="144">
        <f>I84+I86</f>
        <v>2600</v>
      </c>
      <c r="M80" s="144">
        <f>L80</f>
        <v>2600</v>
      </c>
      <c r="N80" s="144">
        <f>I86+I87+I88</f>
        <v>7500</v>
      </c>
      <c r="O80" s="144">
        <f>N80</f>
        <v>7500</v>
      </c>
      <c r="P80" s="144">
        <f>O80</f>
        <v>7500</v>
      </c>
      <c r="Q80" s="144">
        <v>0</v>
      </c>
      <c r="R80" s="144">
        <f>Q80</f>
        <v>0</v>
      </c>
      <c r="S80" s="144">
        <f>I86</f>
        <v>1500</v>
      </c>
      <c r="T80" s="144">
        <f>SUM(L80:S80)</f>
        <v>29200</v>
      </c>
      <c r="AB80" s="144" t="s">
        <v>337</v>
      </c>
      <c r="AC80" s="180">
        <f>IFERROR(AVERAGEIFS($J$100:$J$110,$J$100:$J$110,"&gt;180",$J$100:$J$110,"&lt;=500",$H$100:$H$110,"=Offshore",$D$100:$D$110,"=Saline"),0)</f>
        <v>395</v>
      </c>
      <c r="AD80" s="144">
        <f>IFERROR(SUMIFS($I$100:$I$110,$J$100:$J$110,"&gt;180",$J$100:$J$110,"&lt;=500",$H$100:$H$110,"=Offshore",$D$100:$D$110,"=Saline"),0)</f>
        <v>7.1916666666666664</v>
      </c>
      <c r="AE80" s="180">
        <f>IFERROR(AVERAGEIFS($J$100:$J$110,$J$100:$J$110,"&gt;180",$J$100:$J$110,"&lt;=500",$H$100:$H$110,"=Offshore",$D$100:$D$110,"=Carbon"),0)</f>
        <v>450</v>
      </c>
      <c r="AF80" s="144">
        <f>IFERROR(SUMIFS($I$100:$I$110,$J$100:$J$110,"&gt;180",$J$100:$J$110,"&lt;=500",$H$100:$H$110,"=Offshore",$D$100:$D$110,"=Carbon"),0)</f>
        <v>2.6</v>
      </c>
      <c r="AJ80" s="144" t="s">
        <v>485</v>
      </c>
      <c r="AK80" s="144">
        <f>AC101</f>
        <v>0</v>
      </c>
      <c r="AL80" s="144">
        <f>AC103</f>
        <v>0</v>
      </c>
      <c r="AM80" s="144">
        <f>AC105</f>
        <v>0</v>
      </c>
      <c r="AN80" s="144">
        <f>AC102</f>
        <v>180</v>
      </c>
      <c r="AO80" s="180">
        <f>AC104</f>
        <v>500</v>
      </c>
      <c r="AP80" s="144">
        <f>AC106</f>
        <v>570</v>
      </c>
      <c r="AQ80" s="144">
        <f>AE102</f>
        <v>180</v>
      </c>
      <c r="AR80" s="180">
        <f>AE104</f>
        <v>0</v>
      </c>
      <c r="AS80" s="144">
        <f>AE106</f>
        <v>925</v>
      </c>
    </row>
    <row r="81" spans="2:45">
      <c r="B81" s="144">
        <v>2</v>
      </c>
      <c r="C81" s="144" t="s">
        <v>550</v>
      </c>
      <c r="D81" s="144" t="s">
        <v>417</v>
      </c>
      <c r="E81" s="144" t="s">
        <v>524</v>
      </c>
      <c r="F81" s="168" t="s">
        <v>553</v>
      </c>
      <c r="G81" s="144">
        <f>E273</f>
        <v>0.6</v>
      </c>
      <c r="H81" s="144">
        <f t="shared" si="3"/>
        <v>0.3</v>
      </c>
      <c r="I81" s="144">
        <f t="shared" si="4"/>
        <v>300</v>
      </c>
      <c r="J81" s="144" t="s">
        <v>547</v>
      </c>
      <c r="AB81" s="144" t="s">
        <v>336</v>
      </c>
      <c r="AC81" s="144">
        <f>IFERROR(AVERAGEIFS($J$100:$J$110,$J$100:$J$110,"&gt;500",$H$100:$H$110,"=Onshore",$D$100:$D$110,"=Saline"),0)</f>
        <v>0</v>
      </c>
      <c r="AD81" s="144">
        <f>IFERROR(SUMIFS($I$100:$I$110,$J$100:$J$110,"&gt;500",$H$100:$H$110,"=Onshore",$D$100:$D$110,"=Saline"),0)</f>
        <v>0</v>
      </c>
      <c r="AE81" s="144">
        <f>IFERROR(AVERAGEIFS($J$100:$J$110,$J$100:$J$110,"&gt;500",$H$100:$H$110,"=Onshore",$D$100:$D$110,"=Carbon"),0)</f>
        <v>0</v>
      </c>
      <c r="AF81" s="144">
        <f>IFERROR(SUMIFS($I$100:$I$110,$J$100:$J$110,"&gt;500",$H$100:$H$110,"=Onshore",$D$100:$D$110,"=Carbon"),0)</f>
        <v>0</v>
      </c>
      <c r="AJ81" s="144" t="s">
        <v>473</v>
      </c>
      <c r="AK81" s="144">
        <f>AC107</f>
        <v>0</v>
      </c>
      <c r="AL81" s="144">
        <f>AC109</f>
        <v>0</v>
      </c>
      <c r="AM81" s="144">
        <f>AC111</f>
        <v>0</v>
      </c>
      <c r="AN81" s="144">
        <f>AC108</f>
        <v>165</v>
      </c>
      <c r="AO81" s="180">
        <f>AC110</f>
        <v>375.83333333333337</v>
      </c>
      <c r="AP81" s="144">
        <f>AC112</f>
        <v>585</v>
      </c>
      <c r="AQ81" s="144">
        <f>AE108</f>
        <v>0</v>
      </c>
      <c r="AR81" s="180">
        <f>AE110</f>
        <v>0</v>
      </c>
      <c r="AS81" s="144">
        <f>AE112</f>
        <v>615</v>
      </c>
    </row>
    <row r="82" spans="2:45">
      <c r="B82" s="144">
        <v>2</v>
      </c>
      <c r="C82" s="144" t="s">
        <v>550</v>
      </c>
      <c r="D82" s="144" t="s">
        <v>417</v>
      </c>
      <c r="E82" s="144" t="s">
        <v>523</v>
      </c>
      <c r="F82" s="170" t="s">
        <v>552</v>
      </c>
      <c r="G82" s="144">
        <f>B291+B285+B289</f>
        <v>0.48</v>
      </c>
      <c r="H82" s="144">
        <f t="shared" si="3"/>
        <v>0.24</v>
      </c>
      <c r="I82" s="144">
        <f t="shared" si="4"/>
        <v>240</v>
      </c>
      <c r="J82" s="144" t="s">
        <v>547</v>
      </c>
      <c r="L82" s="144" t="s">
        <v>517</v>
      </c>
      <c r="AB82" s="144" t="s">
        <v>337</v>
      </c>
      <c r="AC82" s="144">
        <f>IFERROR(AVERAGEIFS($J$100:$J$110,$J$100:$J$110,"&gt;500",$H$100:$H$110,"=Offshore",$D$100:$D$110,"=Saline"),0)</f>
        <v>660</v>
      </c>
      <c r="AD82" s="144">
        <f>IFERROR(SUMIFS($I$100:$I$110,$J$100:$J$110,"&gt;500",$H$100:$H$110,"=Offshore",$D$100:$D$110,"=Saline"),0)</f>
        <v>0.13999999999999999</v>
      </c>
      <c r="AE82" s="144">
        <f>IFERROR(AVERAGEIFS($J$100:$J$110,$J$100:$J$110,"&gt;500",$H$100:$H$110,"=Offshore",$D$100:$D$110,"=Carbon"),0)</f>
        <v>0</v>
      </c>
      <c r="AF82" s="144">
        <f>IFERROR(SUMIFS($I$100:$I$110,$J$100:$J$110,"&gt;500",$H$100:$H$110,"=Offshore",$D$100:$D$110,"=Carbon"),0)</f>
        <v>0</v>
      </c>
      <c r="AJ82" s="144" t="s">
        <v>446</v>
      </c>
      <c r="AK82" s="144">
        <f>AC113</f>
        <v>0</v>
      </c>
      <c r="AL82" s="144">
        <f>AC115</f>
        <v>0</v>
      </c>
      <c r="AM82" s="144">
        <f>AC117</f>
        <v>0</v>
      </c>
      <c r="AN82" s="144">
        <f>AC114</f>
        <v>0</v>
      </c>
      <c r="AO82" s="180">
        <f>AC116</f>
        <v>0</v>
      </c>
      <c r="AP82" s="144">
        <f>AC118</f>
        <v>915</v>
      </c>
      <c r="AQ82" s="144">
        <f>AE114</f>
        <v>0</v>
      </c>
      <c r="AR82" s="180">
        <f>AE116</f>
        <v>0</v>
      </c>
      <c r="AS82" s="144">
        <f>AE118</f>
        <v>0</v>
      </c>
    </row>
    <row r="83" spans="2:45">
      <c r="B83" s="144">
        <v>2</v>
      </c>
      <c r="C83" s="144" t="s">
        <v>550</v>
      </c>
      <c r="D83" s="144" t="s">
        <v>417</v>
      </c>
      <c r="E83" s="144" t="s">
        <v>522</v>
      </c>
      <c r="F83" s="168" t="s">
        <v>551</v>
      </c>
      <c r="G83" s="144">
        <f>B284+B287+B286</f>
        <v>1.1500000000000001</v>
      </c>
      <c r="H83" s="144">
        <f t="shared" si="3"/>
        <v>0.57500000000000007</v>
      </c>
      <c r="I83" s="144">
        <f t="shared" si="4"/>
        <v>575.00000000000011</v>
      </c>
      <c r="J83" s="144" t="s">
        <v>547</v>
      </c>
      <c r="K83" s="144" t="s">
        <v>531</v>
      </c>
      <c r="L83" s="144">
        <f>G78+G79+G85+G89+G90+G91</f>
        <v>58.15</v>
      </c>
      <c r="AA83" s="144" t="s">
        <v>503</v>
      </c>
      <c r="AB83" s="144" t="s">
        <v>336</v>
      </c>
      <c r="AC83" s="144">
        <f>IFERROR(AVERAGEIFS($J$111:$J$121,$J$111:$J$121,"&lt;=180",$H$111:$H$121,"=Onshore",$D$111:$D$121,"=Saline"),0)</f>
        <v>60</v>
      </c>
      <c r="AD83" s="144">
        <f>IFERROR(SUMIFS($I$111:$I$121,$J$111:$J$121,"&lt;=180",$H$111:$H$121,"=Onshore",$D$111:$D$121,"=Saline"),0)</f>
        <v>0.57500000000000007</v>
      </c>
      <c r="AE83" s="144">
        <f>IFERROR(AVERAGEIFS($J$111:$J$121,$J$111:$J$121,"&lt;=180",$H$111:$H$121,"=Onshore",$D$111:$D$121,"=Carbon"),0)</f>
        <v>0</v>
      </c>
      <c r="AF83" s="144">
        <f>IFERROR(SUMIFS($I$111:$I$121,$J$111:$J$121,"&lt;=180",$H$111:$H$121,"=Onshore",$D$111:$D$121,"=Carbon"),0)</f>
        <v>0</v>
      </c>
      <c r="AJ83" s="144" t="s">
        <v>445</v>
      </c>
      <c r="AK83" s="144">
        <f>AC119</f>
        <v>0</v>
      </c>
      <c r="AL83" s="144">
        <f>AC121</f>
        <v>0</v>
      </c>
      <c r="AM83" s="144">
        <f>AC123</f>
        <v>0</v>
      </c>
      <c r="AN83" s="144">
        <f>AC120</f>
        <v>0</v>
      </c>
      <c r="AO83" s="180">
        <f>AC122</f>
        <v>0</v>
      </c>
      <c r="AP83" s="144">
        <f>AC124</f>
        <v>1280</v>
      </c>
      <c r="AQ83" s="144">
        <f>AE120</f>
        <v>0</v>
      </c>
      <c r="AR83" s="180">
        <f>AE122</f>
        <v>0</v>
      </c>
      <c r="AS83" s="144">
        <f>AE124</f>
        <v>0</v>
      </c>
    </row>
    <row r="84" spans="2:45">
      <c r="B84" s="144">
        <v>2</v>
      </c>
      <c r="C84" s="144" t="s">
        <v>550</v>
      </c>
      <c r="D84" s="144" t="s">
        <v>417</v>
      </c>
      <c r="E84" s="144" t="s">
        <v>549</v>
      </c>
      <c r="F84" s="168" t="s">
        <v>548</v>
      </c>
      <c r="G84" s="144">
        <f>B292</f>
        <v>2.2000000000000002</v>
      </c>
      <c r="H84" s="144">
        <f t="shared" si="3"/>
        <v>1.1000000000000001</v>
      </c>
      <c r="I84" s="144">
        <f t="shared" si="4"/>
        <v>1100</v>
      </c>
      <c r="J84" s="144" t="s">
        <v>541</v>
      </c>
      <c r="K84" s="144" t="s">
        <v>547</v>
      </c>
      <c r="L84" s="144">
        <f>G80+G81+G82+G83</f>
        <v>13.23</v>
      </c>
      <c r="AB84" s="144" t="s">
        <v>337</v>
      </c>
      <c r="AC84" s="144">
        <f>IFERROR(AVERAGEIFS($J$111:$J$121,$J$111:$J$121,"&lt;=180",$H$111:$H$121,"=Offshore",$D$111:$D$121,"=Saline"),0)</f>
        <v>40</v>
      </c>
      <c r="AD84" s="185">
        <f>IFERROR(SUMIFS($I$111:$I$121,$J$111:$J$121,"&lt;=180",$H$111:$H$121,"=Offshore",$D$111:$D$121,"=Saline"),0)</f>
        <v>0.2</v>
      </c>
      <c r="AE84" s="144">
        <f>IFERROR(AVERAGEIFS($J$111:$J$121,$J$111:$J$121,"&lt;=180",$H$111:$H$121,"=Offshore",$D$111:$D$121,"=Carbon"),0)</f>
        <v>0</v>
      </c>
      <c r="AF84" s="180">
        <f>IFERROR(SUMIFS($I$111:$I$121,$J$111:$J$121,"&lt;=180",$H$111:$H$121,"=Offshore",$D$111:$D$121,"=Carbon"),0)</f>
        <v>0</v>
      </c>
    </row>
    <row r="85" spans="2:45">
      <c r="B85" s="144">
        <v>6</v>
      </c>
      <c r="C85" s="144" t="s">
        <v>545</v>
      </c>
      <c r="D85" s="144" t="s">
        <v>416</v>
      </c>
      <c r="E85" s="144" t="s">
        <v>496</v>
      </c>
      <c r="F85" s="168" t="s">
        <v>546</v>
      </c>
      <c r="G85" s="144">
        <f>SUM(E282:E290)-E272</f>
        <v>41.949999999999996</v>
      </c>
      <c r="H85" s="144">
        <f t="shared" si="3"/>
        <v>6.9916666666666663</v>
      </c>
      <c r="I85" s="144">
        <f t="shared" si="4"/>
        <v>6991.6666666666661</v>
      </c>
      <c r="J85" s="144" t="s">
        <v>531</v>
      </c>
      <c r="K85" s="144" t="s">
        <v>541</v>
      </c>
      <c r="L85" s="144">
        <f>G84+G86+G87+G88</f>
        <v>29.2</v>
      </c>
      <c r="AB85" s="144" t="s">
        <v>336</v>
      </c>
      <c r="AC85" s="144">
        <f>IFERROR(AVERAGEIFS($J$111:$J$121,$J$111:$J$121,"&gt;180",$J$111:$J$121,"&lt;=500",$H$111:$H$121,"=Onshore",$D$111:$D$121,"=Saline"),0)</f>
        <v>333.33333333333331</v>
      </c>
      <c r="AD85" s="144">
        <f>SUMIFS($I$111:$I$121,$J$111:$J$121,"&gt;180",$J$111:$J$121,"&lt;=500",$H$111:$H$121,"=Onshore",$D$111:$D$121,"=Saline")</f>
        <v>6.04</v>
      </c>
      <c r="AE85" s="144">
        <f>IFERROR(AVERAGEIFS($J$111:$J$121,$J$111:$J$121,"&gt;180",$J$111:$J$121,"&lt;=500",$H$111:$H$121,"=Onshore",$D$111:$D$121,"=Carbon"),0)</f>
        <v>0</v>
      </c>
      <c r="AF85" s="144">
        <f>SUMIFS($I$111:$I$121,$J$111:$J$121,"&gt;180",$J$111:$J$121,"&lt;=500",$H$111:$H$121,"=Onshore",$D$111:$D$121,"=Carbon")</f>
        <v>0</v>
      </c>
    </row>
    <row r="86" spans="2:45">
      <c r="B86" s="144">
        <v>6</v>
      </c>
      <c r="C86" s="144" t="s">
        <v>545</v>
      </c>
      <c r="D86" s="144" t="s">
        <v>416</v>
      </c>
      <c r="E86" s="144" t="s">
        <v>495</v>
      </c>
      <c r="F86" s="168" t="s">
        <v>544</v>
      </c>
      <c r="G86" s="144">
        <f>E291/3</f>
        <v>9</v>
      </c>
      <c r="H86" s="144">
        <f t="shared" si="3"/>
        <v>1.5</v>
      </c>
      <c r="I86" s="144">
        <f t="shared" si="4"/>
        <v>1500</v>
      </c>
      <c r="J86" s="144" t="s">
        <v>541</v>
      </c>
      <c r="AB86" s="144" t="s">
        <v>337</v>
      </c>
      <c r="AC86" s="180">
        <f>IFERROR(AVERAGEIFS($J$111:$J$121,$J$111:$J$121,"&gt;180",$J$111:$J$121,"&lt;=500",$H$111:$H$121,"=Offshore",$D$111:$D$121,"=Saline"),0)</f>
        <v>423.33333333333331</v>
      </c>
      <c r="AD86" s="144">
        <f>IFERROR(SUMIFS($I$111:$I$121,$J$111:$J$121,"&gt;180",$J$111:$J$121,"&lt;=500",$H$111:$H$121,"=Offshore",$D$111:$D$121,"=Saline"),0)</f>
        <v>1.2233333333333332</v>
      </c>
      <c r="AE86" s="180">
        <f>IFERROR(AVERAGEIFS($J$111:$J$121,$J$111:$J$121,"&gt;180",$J$111:$J$121,"&lt;=500",$H$111:$H$121,"=Offshore",$D$111:$D$121,"=Carbon"),0)</f>
        <v>340</v>
      </c>
      <c r="AF86" s="144">
        <f>IFERROR(SUMIFS($I$111:$I$121,$J$111:$J$121,"&gt;180",$J$111:$J$121,"&lt;=500",$H$111:$H$121,"=Offshore",$D$111:$D$121,"=Carbon"),0)</f>
        <v>1.1000000000000001</v>
      </c>
    </row>
    <row r="87" spans="2:45">
      <c r="B87" s="144">
        <v>3</v>
      </c>
      <c r="C87" s="144" t="s">
        <v>538</v>
      </c>
      <c r="D87" s="144" t="s">
        <v>416</v>
      </c>
      <c r="E87" s="144" t="s">
        <v>493</v>
      </c>
      <c r="F87" s="168" t="s">
        <v>543</v>
      </c>
      <c r="G87" s="144">
        <f>E291/3</f>
        <v>9</v>
      </c>
      <c r="H87" s="144">
        <f t="shared" si="3"/>
        <v>3</v>
      </c>
      <c r="I87" s="144">
        <f t="shared" si="4"/>
        <v>3000</v>
      </c>
      <c r="J87" s="144" t="s">
        <v>541</v>
      </c>
      <c r="AB87" s="144" t="s">
        <v>336</v>
      </c>
      <c r="AC87" s="144">
        <f>IFERROR(AVERAGEIFS($J$111:$J$121,$J$111:$J$121,"&gt;500",$H$110:$H$120,"=Onshore",$D$111:$D$121,"=Saline"),0)</f>
        <v>0</v>
      </c>
      <c r="AD87" s="144">
        <f>IFERROR(SUMIFS($I$111:$I$121,$J$111:$J$121,"&gt;500",$H$111:$H$121,"=Onshore",$D$111:$D$121,"=Saline"),0)</f>
        <v>0</v>
      </c>
      <c r="AE87" s="144">
        <f>IFERROR(AVERAGEIFS($J$111:$J$121,$J$111:$J$121,"&gt;500",$H$110:$H$120,"=Onshore",$D$111:$D$121,"=Carbon"),0)</f>
        <v>0</v>
      </c>
      <c r="AF87" s="144">
        <f>IFERROR(SUMIFS($I$111:$I$121,$J$111:$J$121,"&gt;500",$H$111:$H$121,"=Onshore",$D$111:$D$121,"=Carbon"),0)</f>
        <v>0</v>
      </c>
    </row>
    <row r="88" spans="2:45">
      <c r="B88" s="144">
        <v>3</v>
      </c>
      <c r="C88" s="144" t="s">
        <v>538</v>
      </c>
      <c r="D88" s="144" t="s">
        <v>416</v>
      </c>
      <c r="E88" s="144" t="s">
        <v>491</v>
      </c>
      <c r="F88" s="170" t="s">
        <v>542</v>
      </c>
      <c r="G88" s="144">
        <f>E291/3</f>
        <v>9</v>
      </c>
      <c r="H88" s="144">
        <f t="shared" si="3"/>
        <v>3</v>
      </c>
      <c r="I88" s="144">
        <f t="shared" si="4"/>
        <v>3000</v>
      </c>
      <c r="J88" s="144" t="s">
        <v>541</v>
      </c>
      <c r="AB88" s="144" t="s">
        <v>337</v>
      </c>
      <c r="AC88" s="144">
        <f>IFERROR(AVERAGEIFS($J$111:$J$121,$J$111:$J$121,"&gt;500",$H$111:$H$121,"=Offshore",$D$111:$D$121,"=Saline"),0)</f>
        <v>880</v>
      </c>
      <c r="AD88" s="144">
        <f>IFERROR(SUMIFS($I$111:$I$121,$J$111:$J$121,"&gt;500",$H$111:$H$121,"=Offshore",$D$111:$D$121,"=Saline"),0)</f>
        <v>6.9916666666666663</v>
      </c>
      <c r="AE88" s="144">
        <f>IFERROR(AVERAGEIFS($J$111:$J$121,$J$111:$J$121,"&gt;500",$H$111:$H$121,"=Offshore",$D$111:$D$121,"=Carbon"),0)</f>
        <v>900</v>
      </c>
      <c r="AF88" s="144">
        <f>IFERROR(SUMIFS($I$111:$I$121,$J$111:$J$121,"&gt;500",$H$111:$H$121,"=Offshore",$D$111:$D$121,"=Carbon"),0)</f>
        <v>1.5</v>
      </c>
      <c r="AN88" s="144" t="s">
        <v>540</v>
      </c>
      <c r="AQ88" s="144" t="s">
        <v>539</v>
      </c>
    </row>
    <row r="89" spans="2:45">
      <c r="B89" s="144">
        <v>3</v>
      </c>
      <c r="C89" s="144" t="s">
        <v>538</v>
      </c>
      <c r="D89" s="144" t="s">
        <v>416</v>
      </c>
      <c r="E89" s="144" t="s">
        <v>489</v>
      </c>
      <c r="F89" s="168" t="s">
        <v>72</v>
      </c>
      <c r="G89" s="144">
        <f>E270</f>
        <v>8</v>
      </c>
      <c r="H89" s="144">
        <f t="shared" si="3"/>
        <v>2.6666666666666665</v>
      </c>
      <c r="I89" s="144">
        <f t="shared" si="4"/>
        <v>2666.6666666666665</v>
      </c>
      <c r="J89" s="144" t="s">
        <v>531</v>
      </c>
      <c r="AA89" s="144" t="s">
        <v>501</v>
      </c>
      <c r="AB89" s="144" t="s">
        <v>336</v>
      </c>
      <c r="AC89" s="144">
        <f>IFERROR(AVERAGEIFS($J$155:$J$161,$J$155:$J$161,"&lt;=180",$H$155:$H$161,"=Onshore",$D$155:$D$161,"=Saline"),0)</f>
        <v>0</v>
      </c>
      <c r="AD89" s="144">
        <f>IFERROR(SUMIFS($I$155:$I$161,$J$155:$J$161,"&lt;=180",$H$155:$H$161,"=Onshore",$D$155:$D$161,"=Saline"),0)</f>
        <v>0</v>
      </c>
      <c r="AE89" s="144">
        <f>IFERROR(AVERAGEIFS($J$155:$J$161,$J$155:$J$161,"&lt;=180",$H$155:$H$161,"=Onshore",$D$155:$D$161,"=Carbon"),0)</f>
        <v>0</v>
      </c>
      <c r="AF89" s="144">
        <f>IFERROR(SUMIFS($I$155:$I$161,$J$155:$J$161,"&lt;=180",$H$155:$H$161,"=Onshore",$D$155:$D$161,"=Carbon"),0)</f>
        <v>0</v>
      </c>
      <c r="AN89" s="144" t="s">
        <v>537</v>
      </c>
      <c r="AO89" s="144" t="s">
        <v>536</v>
      </c>
      <c r="AP89" s="144" t="s">
        <v>535</v>
      </c>
      <c r="AQ89" s="144" t="s">
        <v>537</v>
      </c>
      <c r="AR89" s="144" t="s">
        <v>536</v>
      </c>
      <c r="AS89" s="144" t="s">
        <v>535</v>
      </c>
    </row>
    <row r="90" spans="2:45">
      <c r="B90" s="144">
        <v>5</v>
      </c>
      <c r="C90" s="144" t="s">
        <v>533</v>
      </c>
      <c r="D90" s="144" t="s">
        <v>419</v>
      </c>
      <c r="E90" s="144" t="s">
        <v>479</v>
      </c>
      <c r="F90" s="168" t="s">
        <v>534</v>
      </c>
      <c r="G90" s="144">
        <f>E277+E278</f>
        <v>1</v>
      </c>
      <c r="H90" s="144">
        <f t="shared" si="3"/>
        <v>0.2</v>
      </c>
      <c r="I90" s="144">
        <f t="shared" si="4"/>
        <v>200</v>
      </c>
      <c r="J90" s="144" t="s">
        <v>531</v>
      </c>
      <c r="AB90" s="144" t="s">
        <v>337</v>
      </c>
      <c r="AC90" s="144">
        <f>IFERROR(AVERAGEIFS($J$155:$J$161,$J$155:$J$161,"&lt;=180",$H$155:$H$161,"=Offshore",$D$155:$D$161,"=Saline"),0)</f>
        <v>180</v>
      </c>
      <c r="AD90" s="144">
        <f>IFERROR(SUMIFS($I$155:$I$161,$J$155:$J$161,"&lt;=180",$H$155:$H$161,"=Offshore",$D$155:$D$161,"=Saline"),0)</f>
        <v>0.6166666666666667</v>
      </c>
      <c r="AE90" s="144">
        <f>IFERROR(AVERAGEIFS($J$155:$J$161,$J$155:$J$161,"&lt;=180",$H$155:$H$161,"=Offshore",$D$155:$D$161,"=Carbon"),0)</f>
        <v>0</v>
      </c>
      <c r="AF90" s="144">
        <f>IFERROR(SUMIFS($I$155:$I$161,$J$155:$J$161,"&lt;=180",$H$155:$H$161,"=Offshore",$D$155:$D$161,"=Carbon"),0)</f>
        <v>0</v>
      </c>
      <c r="AN90" s="144">
        <v>5</v>
      </c>
      <c r="AO90" s="144">
        <v>7</v>
      </c>
      <c r="AP90" s="144">
        <v>9</v>
      </c>
      <c r="AQ90" s="144">
        <v>6</v>
      </c>
      <c r="AR90" s="144">
        <v>8</v>
      </c>
      <c r="AS90" s="144">
        <v>10</v>
      </c>
    </row>
    <row r="91" spans="2:45">
      <c r="B91" s="144">
        <v>5</v>
      </c>
      <c r="C91" s="144" t="s">
        <v>533</v>
      </c>
      <c r="D91" s="144" t="s">
        <v>419</v>
      </c>
      <c r="E91" s="144" t="s">
        <v>424</v>
      </c>
      <c r="F91" s="168" t="s">
        <v>532</v>
      </c>
      <c r="G91" s="144">
        <f>E275</f>
        <v>0.7</v>
      </c>
      <c r="H91" s="144">
        <f t="shared" si="3"/>
        <v>0.13999999999999999</v>
      </c>
      <c r="I91" s="144">
        <f t="shared" si="4"/>
        <v>139.99999999999997</v>
      </c>
      <c r="J91" s="144" t="s">
        <v>531</v>
      </c>
      <c r="AB91" s="144" t="s">
        <v>336</v>
      </c>
      <c r="AC91" s="144">
        <f>IFERROR(AVERAGEIFS($J$155:$J$161,$J$155:$J$161,"&gt;180",$J$155:$J$161,"&lt;=500",$H$155:$H$161,"=Onshore",$D$155:$D$161,"=Saline"),0)</f>
        <v>0</v>
      </c>
      <c r="AD91" s="144">
        <f>SUMIFS($I$155:$I$161,$J$155:$J$161,"&gt;180",$J$155:$J$161,"&lt;=500",$H$155:$H$161,"=Onshore",$D$155:$D$161,"=Saline")</f>
        <v>0</v>
      </c>
      <c r="AE91" s="144">
        <f>IFERROR(AVERAGEIFS($J$155:$J$161,$J$155:$J$161,"&gt;180",$J$155:$J$161,"&lt;=500",$H$155:$H$161,"=Onshore",$D$155:$D$161,"=Carbon"),0)</f>
        <v>0</v>
      </c>
      <c r="AF91" s="144">
        <f>SUMIFS($I$155:$I$161,$J$155:$J$161,"&gt;180",$J$155:$J$161,"&lt;=500",$H$155:$H$161,"=Onshore",$D$155:$D$161,"=Carbon")</f>
        <v>0</v>
      </c>
      <c r="AN91" s="144">
        <f t="shared" ref="AN91:AS97" si="5">AN90+6</f>
        <v>11</v>
      </c>
      <c r="AO91" s="144">
        <f t="shared" si="5"/>
        <v>13</v>
      </c>
      <c r="AP91" s="144">
        <f t="shared" si="5"/>
        <v>15</v>
      </c>
      <c r="AQ91" s="144">
        <f t="shared" si="5"/>
        <v>12</v>
      </c>
      <c r="AR91" s="144">
        <f t="shared" si="5"/>
        <v>14</v>
      </c>
      <c r="AS91" s="144">
        <f t="shared" si="5"/>
        <v>16</v>
      </c>
    </row>
    <row r="92" spans="2:45">
      <c r="AB92" s="144" t="s">
        <v>337</v>
      </c>
      <c r="AC92" s="180">
        <f>IFERROR(AVERAGEIFS($J$155:$J$161,$J$155:$J$161,"&gt;180",$J$155:$J$161,"&lt;=500",$H$155:$H$161,"=Offshore",$D$155:$D$161,"=Saline"),0)</f>
        <v>250</v>
      </c>
      <c r="AD92" s="144">
        <f>IFERROR(SUMIFS($I$155:$I$161,$J$155:$J$161,"&gt;180",$J$155:$J$161,"&lt;=500",$H$155:$H$161,"=Offshore",$D$155:$D$161,"=Saline"),0)</f>
        <v>0.46666666666666662</v>
      </c>
      <c r="AE92" s="180">
        <f>IFERROR(AVERAGEIFS($J$155:$J$161,$J$155:$J$161,"&gt;180",$J$155:$J$161,"&lt;=500",$H$155:$H$161,"=Offshore",$D$155:$D$161,"=Carbon"),0)</f>
        <v>0</v>
      </c>
      <c r="AF92" s="144">
        <f>IFERROR(SUMIFS($I$155:$I$161,$J$155:$J$161,"&gt;180",$J$155:$J$161,"&lt;=500",$H$155:$H$161,"=Offshore",$D$155:$D$161,"=Carbon"),0)</f>
        <v>0</v>
      </c>
      <c r="AN92" s="144">
        <f t="shared" si="5"/>
        <v>17</v>
      </c>
      <c r="AO92" s="144">
        <f t="shared" si="5"/>
        <v>19</v>
      </c>
      <c r="AP92" s="144">
        <f t="shared" si="5"/>
        <v>21</v>
      </c>
      <c r="AQ92" s="144">
        <f t="shared" si="5"/>
        <v>18</v>
      </c>
      <c r="AR92" s="144">
        <f t="shared" si="5"/>
        <v>20</v>
      </c>
      <c r="AS92" s="144">
        <f t="shared" si="5"/>
        <v>22</v>
      </c>
    </row>
    <row r="93" spans="2:45">
      <c r="AB93" s="144" t="s">
        <v>336</v>
      </c>
      <c r="AC93" s="144">
        <f>IFERROR(AVERAGEIFS($J$155:$J$161,$J$155:$J$161,"&gt;500",$H$155:$H$161,"=Onshore",$D$155:$D$161,"=Saline"),0)</f>
        <v>0</v>
      </c>
      <c r="AD93" s="144">
        <f>IFERROR(SUMIFS($I$155:$I$161,$J$155:$J$161,"&gt;500",$H$155:$H$161,"=Onshore",$D$155:$D$161,"=Saline"),0)</f>
        <v>0</v>
      </c>
      <c r="AE93" s="144">
        <f>IFERROR(AVERAGEIFS($J$155:$J$161,$J$155:$J$161,"&gt;500",$H$155:$H$161,"=Onshore",$D$155:$D$161,"=Carbon"),0)</f>
        <v>0</v>
      </c>
      <c r="AF93" s="144">
        <f>IFERROR(SUMIFS($I$155:$I$161,$J$155:$J$161,"&gt;500",$H$155:$H$161,"=Onshore",$D$155:$D$161,"=Carbon"),0)</f>
        <v>0</v>
      </c>
      <c r="AN93" s="144">
        <f t="shared" si="5"/>
        <v>23</v>
      </c>
      <c r="AO93" s="144">
        <f t="shared" si="5"/>
        <v>25</v>
      </c>
      <c r="AP93" s="144">
        <f t="shared" si="5"/>
        <v>27</v>
      </c>
      <c r="AQ93" s="144">
        <f t="shared" si="5"/>
        <v>24</v>
      </c>
      <c r="AR93" s="144">
        <f t="shared" si="5"/>
        <v>26</v>
      </c>
      <c r="AS93" s="144">
        <f t="shared" si="5"/>
        <v>28</v>
      </c>
    </row>
    <row r="94" spans="2:45">
      <c r="AB94" s="144" t="s">
        <v>337</v>
      </c>
      <c r="AC94" s="144">
        <f>IFERROR(AVERAGEIFS($J$155:$J$161,$J$155:$J$161,"&gt;500",$H$155:$H$161,"=Offshore",$D$155:$D$161,"=Saline"),0)</f>
        <v>955</v>
      </c>
      <c r="AD94" s="144">
        <f>IFERROR(SUMIFS($I$155:$I$161,$J$155:$J$161,"&gt;500",$H$155:$H$161,"=Offshore",$D$155:$D$161,"=Saline"),0)</f>
        <v>9.6583333333333332</v>
      </c>
      <c r="AE94" s="144">
        <f>IFERROR(AVERAGEIFS($J$155:$J$161,$J$155:$J$161,"&gt;500",$H$155:$H$161,"=Offshore",$D$155:$D$161,"=Carbon"),0)</f>
        <v>1310</v>
      </c>
      <c r="AF94" s="144">
        <f>IFERROR(SUMIFS($I$155:$I$161,$J$155:$J$161,"&gt;500",$H$155:$H$161,"=Offshore",$D$155:$D$161,"=Carbon"),0)</f>
        <v>7.5</v>
      </c>
      <c r="AN94" s="144">
        <f t="shared" si="5"/>
        <v>29</v>
      </c>
      <c r="AO94" s="144">
        <f t="shared" si="5"/>
        <v>31</v>
      </c>
      <c r="AP94" s="144">
        <f t="shared" si="5"/>
        <v>33</v>
      </c>
      <c r="AQ94" s="144">
        <f t="shared" si="5"/>
        <v>30</v>
      </c>
      <c r="AR94" s="144">
        <f t="shared" si="5"/>
        <v>32</v>
      </c>
      <c r="AS94" s="144">
        <f t="shared" si="5"/>
        <v>34</v>
      </c>
    </row>
    <row r="95" spans="2:45">
      <c r="B95" s="144" t="s">
        <v>530</v>
      </c>
      <c r="AA95" s="144" t="s">
        <v>488</v>
      </c>
      <c r="AB95" s="144" t="s">
        <v>336</v>
      </c>
      <c r="AC95" s="144">
        <f>IFERROR(AVERAGEIFS($J$174:$J$180,$J$174:$J$180,"&lt;=180",$H$174:$H$180,"=Onshore",$D$174:$D$180,"=Saline"),0)</f>
        <v>0</v>
      </c>
      <c r="AD95" s="144">
        <f>IFERROR(SUMIFS($I$174:$I$180,$J$174:$J$180,"&lt;=180",$H$174:$H$180,"=Onshore",$D$174:$D$180,"=Saline"),0)</f>
        <v>0</v>
      </c>
      <c r="AE95" s="144">
        <f>IFERROR(AVERAGEIFS($J$174:$J$180,$J$174:$J$180,"&lt;=180",$H$174:$H$180,"=Onshore",$D$174:$D$180,"=Carbon"),0)</f>
        <v>0</v>
      </c>
      <c r="AF95" s="144">
        <f>IFERROR(SUMIFS($I$174:$I$180,$J$174:$J$180,"&lt;=180",$H$174:$H$180,"=Onshore",$D$174:$D$180,"=Carbon"),0)</f>
        <v>0</v>
      </c>
      <c r="AN95" s="144">
        <f t="shared" si="5"/>
        <v>35</v>
      </c>
      <c r="AO95" s="144">
        <f t="shared" si="5"/>
        <v>37</v>
      </c>
      <c r="AP95" s="144">
        <f t="shared" si="5"/>
        <v>39</v>
      </c>
      <c r="AQ95" s="144">
        <f t="shared" si="5"/>
        <v>36</v>
      </c>
      <c r="AR95" s="144">
        <f t="shared" si="5"/>
        <v>38</v>
      </c>
      <c r="AS95" s="144">
        <f t="shared" si="5"/>
        <v>40</v>
      </c>
    </row>
    <row r="96" spans="2:45">
      <c r="B96" s="144" t="s">
        <v>529</v>
      </c>
      <c r="AB96" s="144" t="s">
        <v>337</v>
      </c>
      <c r="AC96" s="144">
        <f>IFERROR(AVERAGEIFS($J$174:$J$180,$J$174:$J$180,"&lt;=180",$H$174:$H$180,"=Offshore",$D$174:$D$180,"=Saline"),0)</f>
        <v>150</v>
      </c>
      <c r="AD96" s="144">
        <f>IFERROR(SUMIFS($I$174:$I$180,$J$174:$J$180,"&lt;=180",$H$174:$H$180,"=Offshore",$D$174:$D$180,"=Saline"),0)</f>
        <v>6.9916666666666663</v>
      </c>
      <c r="AE96" s="144">
        <f>IFERROR(AVERAGEIFS($J$174:$J$180,$J$174:$J$180,"&lt;=180",$H$174:$H$180,"=Offshore",$D$174:$D$180,"=Carbon"),0)</f>
        <v>150</v>
      </c>
      <c r="AF96" s="144">
        <f>IFERROR(SUMIFS($I$174:$I$180,$J$174:$J$180,"&lt;=180",$H$174:$H$180,"=Offshore",$D$174:$D$180,"=Carbon"),0)</f>
        <v>1.5</v>
      </c>
      <c r="AN96" s="144">
        <f t="shared" si="5"/>
        <v>41</v>
      </c>
      <c r="AO96" s="144">
        <f t="shared" si="5"/>
        <v>43</v>
      </c>
      <c r="AP96" s="144">
        <f t="shared" si="5"/>
        <v>45</v>
      </c>
      <c r="AQ96" s="144">
        <f t="shared" si="5"/>
        <v>42</v>
      </c>
      <c r="AR96" s="144">
        <f t="shared" si="5"/>
        <v>44</v>
      </c>
      <c r="AS96" s="144">
        <f t="shared" si="5"/>
        <v>46</v>
      </c>
    </row>
    <row r="97" spans="1:45">
      <c r="AB97" s="144" t="s">
        <v>336</v>
      </c>
      <c r="AC97" s="144">
        <f>IFERROR(AVERAGEIFS($J$174:$J$180,$J$174:$J$180,"&gt;180",$J$174:$J$180,"&lt;=500",$H$174:$H$180,"=Onshore",$D$174:$D$180,"=Saline"),0)</f>
        <v>0</v>
      </c>
      <c r="AD97" s="144">
        <f>SUMIFS($I$174:$I$180,$J$174:$J$180,"&gt;180",$J$174:$J$180,"&lt;=500",$H$174:$H$180,"=Onshore",$D$174:$D$180,"=Saline")</f>
        <v>0</v>
      </c>
      <c r="AE97" s="144">
        <f>IFERROR(AVERAGEIFS($J$174:$J$180,$J$174:$J$180,"&gt;180",$J$174:$J$180,"&lt;=500",$H$174:$H$180,"=Onshore",$D$174:$D$180,"=Carbon"),0)</f>
        <v>0</v>
      </c>
      <c r="AF97" s="144">
        <f>SUMIFS($I$174:$I$180,$J$174:$J$180,"&gt;180",$J$174:$J$180,"&lt;=500",$H$174:$H$180,"=Onshore",$D$174:$D$180,"=Carbon")</f>
        <v>0</v>
      </c>
      <c r="AN97" s="144">
        <f t="shared" si="5"/>
        <v>47</v>
      </c>
      <c r="AO97" s="144">
        <f t="shared" si="5"/>
        <v>49</v>
      </c>
      <c r="AP97" s="144">
        <f t="shared" si="5"/>
        <v>51</v>
      </c>
      <c r="AQ97" s="144">
        <f t="shared" si="5"/>
        <v>48</v>
      </c>
      <c r="AR97" s="144">
        <f t="shared" si="5"/>
        <v>50</v>
      </c>
      <c r="AS97" s="144">
        <f t="shared" si="5"/>
        <v>52</v>
      </c>
    </row>
    <row r="98" spans="1:45">
      <c r="A98" s="144" t="s">
        <v>466</v>
      </c>
      <c r="B98" s="144" t="s">
        <v>502</v>
      </c>
      <c r="J98" s="144" t="s">
        <v>464</v>
      </c>
      <c r="AB98" s="144" t="s">
        <v>337</v>
      </c>
      <c r="AC98" s="180">
        <f>IFERROR(AVERAGEIFS($J$174:$J$180,$J$174:$J$180,"&gt;180",$J$174:$J$180,"&lt;=500",$H$174:$H$180,"=Offshore",$D$174:$D$180,"=Saline"),0)</f>
        <v>330</v>
      </c>
      <c r="AD98" s="144">
        <f>IFERROR(SUMIFS($I$174:$I$180,$J$174:$J$180,"&gt;180",$J$174:$J$180,"&lt;=500",$H$174:$H$180,"=Offshore",$D$174:$D$180,"=Saline"),0)</f>
        <v>1.0833333333333333</v>
      </c>
      <c r="AE98" s="180">
        <f>IFERROR(AVERAGEIFS($J$174:$J$180,$J$174:$J$180,"&gt;180",$J$174:$J$180,"&lt;=500",$H$174:$H$180,"=Offshore",$D$174:$D$180,"=Carbon"),0)</f>
        <v>0</v>
      </c>
      <c r="AF98" s="144">
        <f>IFERROR(SUMIFS($I$174:$I$180,$J$174:$J$180,"&gt;180",$J$174:$J$180,"&lt;=500",$H$174:$H$180,"=Offshore",$D$174:$D$180,"=Carbon"),0)</f>
        <v>0</v>
      </c>
    </row>
    <row r="99" spans="1:45">
      <c r="B99" s="144" t="s">
        <v>463</v>
      </c>
      <c r="C99" s="144" t="s">
        <v>113</v>
      </c>
      <c r="D99" s="144" t="s">
        <v>528</v>
      </c>
      <c r="E99" s="144" t="s">
        <v>461</v>
      </c>
      <c r="F99" s="144" t="s">
        <v>460</v>
      </c>
      <c r="G99" s="144" t="s">
        <v>436</v>
      </c>
      <c r="H99" s="144" t="s">
        <v>459</v>
      </c>
      <c r="I99" s="144" t="s">
        <v>458</v>
      </c>
      <c r="J99" s="144" t="s">
        <v>457</v>
      </c>
      <c r="L99" s="144" t="s">
        <v>455</v>
      </c>
      <c r="M99" s="144" t="s">
        <v>454</v>
      </c>
      <c r="AB99" s="144" t="s">
        <v>336</v>
      </c>
      <c r="AC99" s="144">
        <f>IFERROR(AVERAGEIFS($J$174:$J$180,$J$174:$J$180,"&gt;500",$H$174:$H$180,"=Onshore",$D$174:$D$180,"=Saline"),0)</f>
        <v>0</v>
      </c>
      <c r="AD99" s="144">
        <f>IFERROR(SUMIFS($I$174:$I$180,$J$174:$J$180,"&gt;500",$H$174:$H$180,"=Onshore",$D$174:$D$180,"=Saline"),0)</f>
        <v>0</v>
      </c>
      <c r="AE99" s="144">
        <f>IFERROR(AVERAGEIFS($J$174:$J$180,$J$174:$J$180,"&gt;500",$H$174:$H$180,"=Onshore",$D$174:$D$180,"=Carbon"),0)</f>
        <v>0</v>
      </c>
      <c r="AF99" s="144">
        <f>IFERROR(SUMIFS($I$174:$I$180,$J$174:$J$180,"&gt;500",$H$174:$H$180,"=Onshore",$D$174:$D$180,"=Carbon"),0)</f>
        <v>0</v>
      </c>
    </row>
    <row r="100" spans="1:45">
      <c r="B100" s="144" t="s">
        <v>508</v>
      </c>
      <c r="C100" s="144" t="s">
        <v>527</v>
      </c>
      <c r="D100" s="144" t="s">
        <v>448</v>
      </c>
      <c r="E100" s="144" t="s">
        <v>499</v>
      </c>
      <c r="F100" s="144">
        <v>1</v>
      </c>
      <c r="G100" s="144" t="s">
        <v>480</v>
      </c>
      <c r="H100" s="186" t="s">
        <v>337</v>
      </c>
      <c r="I100" s="144">
        <f t="shared" ref="I100:I105" si="6">H78</f>
        <v>0.6166666666666667</v>
      </c>
      <c r="J100" s="184">
        <v>100</v>
      </c>
      <c r="L100" s="144" t="s">
        <v>450</v>
      </c>
      <c r="M100" s="144" t="s">
        <v>526</v>
      </c>
      <c r="AB100" s="144" t="s">
        <v>337</v>
      </c>
      <c r="AC100" s="144">
        <f>IFERROR(AVERAGEIFS($J$174:$J$180,$J$174:$J$180,"&gt;500",$H$174:$H$180,"=Offshore",$D$174:$D$180,"=Saline"),0)</f>
        <v>720</v>
      </c>
      <c r="AD100" s="144">
        <f>IFERROR(SUMIFS($I$174:$I$180,$J$174:$J$180,"&gt;500",$H$174:$H$180,"=Offshore",$D$174:$D$180,"=Saline"),0)</f>
        <v>2.6666666666666665</v>
      </c>
      <c r="AE100" s="144">
        <f>IFERROR(AVERAGEIFS($J$174:$J$180,$J$174:$J$180,"&gt;500",$H$174:$H$180,"=Offshore",$D$174:$D$180,"=Carbon"),0)</f>
        <v>1110</v>
      </c>
      <c r="AF100" s="144">
        <f>IFERROR(SUMIFS($I$174:$I$180,$J$174:$J$180,"&gt;500",$H$174:$H$180,"=Offshore",$D$174:$D$180,"=Carbon"),0)</f>
        <v>6</v>
      </c>
    </row>
    <row r="101" spans="1:45">
      <c r="D101" s="144" t="s">
        <v>448</v>
      </c>
      <c r="E101" s="144" t="s">
        <v>497</v>
      </c>
      <c r="F101" s="144">
        <v>2</v>
      </c>
      <c r="G101" s="144" t="s">
        <v>417</v>
      </c>
      <c r="H101" s="186" t="s">
        <v>337</v>
      </c>
      <c r="I101" s="144">
        <f t="shared" si="6"/>
        <v>0.46666666666666662</v>
      </c>
      <c r="J101" s="184">
        <v>130</v>
      </c>
      <c r="L101" s="144" t="s">
        <v>450</v>
      </c>
      <c r="M101" s="144" t="s">
        <v>519</v>
      </c>
      <c r="AA101" s="144" t="s">
        <v>485</v>
      </c>
      <c r="AB101" s="144" t="s">
        <v>336</v>
      </c>
      <c r="AC101" s="144">
        <f>IFERROR(AVERAGEIFS($J$192:$J$198,$J$192:$J$198,"&lt;=180",$H$192:$H$198,"=Onshore",$D$192:$D$198,"=Saline"),0)</f>
        <v>0</v>
      </c>
      <c r="AD101" s="144">
        <f>IFERROR(SUMIFS($I$192:$I$198,$J$192:$J$198,"&lt;=180",$H$192:$H$198,"=Onshore",$D$192:$D$198,"=Saline"),0)</f>
        <v>0</v>
      </c>
      <c r="AE101" s="144">
        <f>IFERROR(AVERAGEIFS($J$192:$J$198,$J$192:$J$198,"&lt;=180",$H$192:$H$198,"=Onshore",$D$192:$D$198,"=Carbon"),0)</f>
        <v>0</v>
      </c>
      <c r="AF101" s="144">
        <f>IFERROR(SUMIFS($I$192:$I$198,$J$192:$J$198,"&lt;=180",$H$192:$H$198,"=Onshore",$D$192:$D$198,"=Carbon"),0)</f>
        <v>0</v>
      </c>
    </row>
    <row r="102" spans="1:45">
      <c r="D102" s="144" t="s">
        <v>448</v>
      </c>
      <c r="E102" s="144" t="s">
        <v>525</v>
      </c>
      <c r="F102" s="144">
        <v>3</v>
      </c>
      <c r="G102" s="144" t="s">
        <v>417</v>
      </c>
      <c r="H102" s="144" t="s">
        <v>336</v>
      </c>
      <c r="I102" s="144">
        <f t="shared" si="6"/>
        <v>5.5</v>
      </c>
      <c r="J102" s="184">
        <v>80</v>
      </c>
      <c r="L102" s="144" t="s">
        <v>450</v>
      </c>
      <c r="AB102" s="144" t="s">
        <v>337</v>
      </c>
      <c r="AC102" s="144">
        <f>IFERROR(AVERAGEIFS($J$192:$J$198,$J$192:$J$198,"&lt;=180",$H$192:$H$198,"=Offshore",$D$192:$D$198,"=Saline"),0)</f>
        <v>180</v>
      </c>
      <c r="AD102" s="144">
        <f>IFERROR(SUMIFS($I$192:$I$198,$J$192:$J$198,"&lt;=180",$H$192:$H$198,"=Offshore",$D$192:$D$198,"=Saline"),0)</f>
        <v>6.9916666666666663</v>
      </c>
      <c r="AE102" s="144">
        <f>IFERROR(AVERAGEIFS($J$192:$J$198,$J$192:$J$198,"&lt;=180",$H$192:$H$198,"=Offshore",$D$192:$D$198,"=Carbon"),0)</f>
        <v>180</v>
      </c>
      <c r="AF102" s="144">
        <f>IFERROR(SUMIFS($I$192:$I$198,$J$192:$J$198,"&lt;=180",$H$192:$H$198,"=Offshore",$D$192:$D$198,"=Carbon"),0)</f>
        <v>1.5</v>
      </c>
    </row>
    <row r="103" spans="1:45">
      <c r="D103" s="144" t="s">
        <v>448</v>
      </c>
      <c r="E103" s="144" t="s">
        <v>524</v>
      </c>
      <c r="F103" s="144">
        <v>4</v>
      </c>
      <c r="G103" s="144" t="s">
        <v>417</v>
      </c>
      <c r="H103" s="144" t="s">
        <v>336</v>
      </c>
      <c r="I103" s="144">
        <f t="shared" si="6"/>
        <v>0.3</v>
      </c>
      <c r="J103" s="184">
        <v>65</v>
      </c>
      <c r="L103" s="144" t="s">
        <v>450</v>
      </c>
      <c r="AB103" s="144" t="s">
        <v>336</v>
      </c>
      <c r="AC103" s="144">
        <f>IFERROR(AVERAGEIFS($J$192:$J$198,$J$192:$J$198,"&gt;180",$J$192:$J$198,"&lt;=500",$H$192:$H$198,"=Onshore",$D$192:$D$198,"=Saline"),0)</f>
        <v>0</v>
      </c>
      <c r="AD103" s="144">
        <f>SUMIFS($I$192:$I$198,$J$192:$J$198,"&gt;180",$J$192:$J$198,"&lt;=500",$H$192:$H$198,"=Onshore",$D$192:$D$198,"=Saline")</f>
        <v>0</v>
      </c>
      <c r="AE103" s="144">
        <f>IFERROR(AVERAGEIFS($J$192:$J$198,$J$192:$J$198,"&gt;180",$J$192:$J$198,"&lt;=500",$H$192:$H$198,"=Onshore",$D$192:$D$198,"=Carbon"),0)</f>
        <v>0</v>
      </c>
      <c r="AF103" s="144">
        <f>SUMIFS($I$192:$I$198,$J$192:$J$198,"&gt;180",$J$192:$J$198,"&lt;=500",$H$192:$H$198,"=Onshore",$D$192:$D$198,"=Carbon")</f>
        <v>0</v>
      </c>
    </row>
    <row r="104" spans="1:45">
      <c r="D104" s="144" t="s">
        <v>448</v>
      </c>
      <c r="E104" s="144" t="s">
        <v>523</v>
      </c>
      <c r="F104" s="144">
        <v>5</v>
      </c>
      <c r="G104" s="144" t="s">
        <v>417</v>
      </c>
      <c r="H104" s="144" t="s">
        <v>336</v>
      </c>
      <c r="I104" s="144">
        <f t="shared" si="6"/>
        <v>0.24</v>
      </c>
      <c r="J104" s="184">
        <v>150</v>
      </c>
      <c r="L104" s="144" t="s">
        <v>450</v>
      </c>
      <c r="AB104" s="144" t="s">
        <v>337</v>
      </c>
      <c r="AC104" s="180">
        <f>IFERROR(AVERAGEIFS($J$192:$J$198,$J$192:$J$198,"&gt;180",$J$192:$J$198,"&lt;=500",$H$192:$H$198,"=Offshore",$D$192:$D$198,"=Saline"),0)</f>
        <v>500</v>
      </c>
      <c r="AD104" s="144">
        <f>IFERROR(SUMIFS($I$192:$I$198,$J$192:$J$198,"&gt;180",$J$192:$J$198,"&lt;=500",$H$192:$H$198,"=Offshore",$D$192:$D$198,"=Saline"),0)</f>
        <v>0.46666666666666662</v>
      </c>
      <c r="AE104" s="180">
        <f>IFERROR(AVERAGEIFS($J$192:$J$198,$J$192:$J$198,"&gt;180",$J$192:$J$198,"&lt;=500",$H$192:$H$198,"=Offshore",$D$192:$D$198,"=Carbon"),0)</f>
        <v>0</v>
      </c>
      <c r="AF104" s="144">
        <f>IFERROR(SUMIFS($I$192:$I$198,$J$192:$J$198,"&gt;180",$J$192:$J$198,"&lt;=500",$H$192:$H$198,"=Offshore",$D$192:$D$198,"=Carbon"),0)</f>
        <v>0</v>
      </c>
    </row>
    <row r="105" spans="1:45">
      <c r="D105" s="144" t="s">
        <v>448</v>
      </c>
      <c r="E105" s="144" t="s">
        <v>522</v>
      </c>
      <c r="F105" s="144">
        <v>6</v>
      </c>
      <c r="G105" s="144" t="s">
        <v>417</v>
      </c>
      <c r="H105" s="144" t="s">
        <v>336</v>
      </c>
      <c r="I105" s="144">
        <f t="shared" si="6"/>
        <v>0.57500000000000007</v>
      </c>
      <c r="J105" s="183">
        <v>350</v>
      </c>
      <c r="L105" s="144" t="s">
        <v>450</v>
      </c>
      <c r="AB105" s="144" t="s">
        <v>336</v>
      </c>
      <c r="AC105" s="144">
        <f>IFERROR(AVERAGEIFS($J$192:$J$198,$J$192:$J$198,"&gt;500",$H$192:$H$198,"=Onshore",$D$192:$D$198,"=Saline"),0)</f>
        <v>0</v>
      </c>
      <c r="AD105" s="144">
        <f>IFERROR(SUMIFS($I$192:$I$198,$J$192:$J$198,"&gt;500",$H$192:$H$198,"=Onshore",$D$192:$D$198,"=Saline"),0)</f>
        <v>0</v>
      </c>
      <c r="AE105" s="144">
        <f>IFERROR(AVERAGEIFS($J$192:$J$198,$J$192:$J$198,"&gt;500",$H$192:$H$198,"=Onshore",$D$192:$D$198,"=Carbon"),0)</f>
        <v>0</v>
      </c>
      <c r="AF105" s="144">
        <f>IFERROR(SUMIFS($I$192:$I$198,$J$192:$J$198,"&gt;500",$H$192:$H$198,"=Onshore",$D$192:$D$198,"=Carbon"),0)</f>
        <v>0</v>
      </c>
    </row>
    <row r="106" spans="1:45">
      <c r="D106" s="144" t="s">
        <v>448</v>
      </c>
      <c r="E106" s="144" t="s">
        <v>479</v>
      </c>
      <c r="F106" s="144">
        <v>7</v>
      </c>
      <c r="G106" s="144" t="s">
        <v>419</v>
      </c>
      <c r="H106" s="186" t="s">
        <v>337</v>
      </c>
      <c r="I106" s="144">
        <f>H90</f>
        <v>0.2</v>
      </c>
      <c r="J106" s="183">
        <v>300</v>
      </c>
      <c r="L106" s="144" t="s">
        <v>450</v>
      </c>
      <c r="AB106" s="144" t="s">
        <v>337</v>
      </c>
      <c r="AC106" s="144">
        <f>IFERROR(AVERAGEIFS($J$192:$J$198,$J$192:$J$198,"&gt;500",$H$192:$H$198,"=Offshore",$D$192:$D$198,"=Saline"),0)</f>
        <v>570</v>
      </c>
      <c r="AD106" s="144">
        <f>IFERROR(SUMIFS($I$192:$I$198,$J$192:$J$198,"&gt;500",$H$192:$H$198,"=Offshore",$D$192:$D$198,"=Saline"),0)</f>
        <v>3.2833333333333332</v>
      </c>
      <c r="AE106" s="144">
        <f>IFERROR(AVERAGEIFS($J$192:$J$198,$J$192:$J$198,"&gt;500",$H$192:$H$198,"=Offshore",$D$192:$D$198,"=Carbon"),0)</f>
        <v>925</v>
      </c>
      <c r="AF106" s="144">
        <f>IFERROR(SUMIFS($I$192:$I$198,$J$192:$J$198,"&gt;500",$H$192:$H$198,"=Offshore",$D$192:$D$198,"=Carbon"),0)</f>
        <v>6</v>
      </c>
    </row>
    <row r="107" spans="1:45">
      <c r="D107" s="144" t="s">
        <v>476</v>
      </c>
      <c r="E107" s="144" t="s">
        <v>160</v>
      </c>
      <c r="F107" s="144">
        <v>8</v>
      </c>
      <c r="G107" s="144" t="s">
        <v>417</v>
      </c>
      <c r="H107" s="186" t="s">
        <v>337</v>
      </c>
      <c r="I107" s="144">
        <f>H84</f>
        <v>1.1000000000000001</v>
      </c>
      <c r="J107" s="183">
        <v>400</v>
      </c>
      <c r="L107" s="144" t="s">
        <v>450</v>
      </c>
      <c r="AA107" s="144" t="s">
        <v>473</v>
      </c>
      <c r="AB107" s="144" t="s">
        <v>336</v>
      </c>
      <c r="AC107" s="144">
        <f>IF(AND($C$224&gt;0,$C$232&gt;0),AVERAGE($C$224,$C$232),IF($C$224&gt;0,$C$224,IF($C$232&gt;0,$C$232,0)))</f>
        <v>0</v>
      </c>
      <c r="AD107" s="144">
        <f>IF(AND($D$224&gt;0,$D$232&gt;0),MAX($D$224,$D$232),IF($D$224&gt;0,$D$224,IF($D$232&gt;0,$D$232,0)))</f>
        <v>0</v>
      </c>
      <c r="AE107" s="144">
        <f>IF(AND($E$224&gt;0,$E$232&gt;0),AVERAGE($E$224,$E$232),IF($E$224&gt;0,$E$224,IF($E$232&gt;0,$E$232,0)))</f>
        <v>0</v>
      </c>
      <c r="AF107" s="144">
        <f>IF(AND($F$224&gt;0,$F$232&gt;0),MAX($F$224,$F$232),IF($F$224&gt;0,$F$224,IF($F$232&gt;0,$F$232,0)))</f>
        <v>0</v>
      </c>
    </row>
    <row r="108" spans="1:45">
      <c r="D108" s="144" t="s">
        <v>448</v>
      </c>
      <c r="E108" s="144" t="s">
        <v>496</v>
      </c>
      <c r="F108" s="144">
        <v>9</v>
      </c>
      <c r="G108" s="144" t="s">
        <v>416</v>
      </c>
      <c r="H108" s="186" t="s">
        <v>337</v>
      </c>
      <c r="I108" s="144">
        <f>H85</f>
        <v>6.9916666666666663</v>
      </c>
      <c r="J108" s="183">
        <v>490</v>
      </c>
      <c r="L108" s="144" t="s">
        <v>450</v>
      </c>
      <c r="AB108" s="144" t="s">
        <v>337</v>
      </c>
      <c r="AC108" s="144">
        <f>IF(AND($C$225&gt;0,$C$233&gt;0),AVERAGE($C$225,$C$233),IF($C$225&gt;0,$C$225,IF($C$233&gt;0,$C$233,0)))</f>
        <v>165</v>
      </c>
      <c r="AD108" s="144">
        <f>IF(AND($D$225&gt;0,$D$233&gt;0),MAX($D$225,$D$233),IF($D$225&gt;0,$D$225,IF($D$233&gt;0,$D$233,0)))</f>
        <v>0.6166666666666667</v>
      </c>
      <c r="AE108" s="144">
        <f>IF(AND(Y71&gt;0,Y101&gt;0),AVERAGE(Y71,Y101),IF(Y71&gt;0,Y71,IF(Y101&gt;0,Y101,0)))</f>
        <v>0</v>
      </c>
      <c r="AF108" s="144">
        <f>IF(AND($F$225&gt;0,$F$233&gt;0),MAX($F$225,$F$233),IF($F$225&gt;0,$F$225,IF($F$233&gt;0,$F$233,0)))</f>
        <v>0</v>
      </c>
    </row>
    <row r="109" spans="1:45">
      <c r="D109" s="144" t="s">
        <v>476</v>
      </c>
      <c r="E109" s="144" t="s">
        <v>495</v>
      </c>
      <c r="F109" s="144">
        <v>10</v>
      </c>
      <c r="G109" s="144" t="s">
        <v>416</v>
      </c>
      <c r="H109" s="186" t="s">
        <v>337</v>
      </c>
      <c r="I109" s="144">
        <f>H86</f>
        <v>1.5</v>
      </c>
      <c r="J109" s="183">
        <v>500</v>
      </c>
      <c r="L109" s="144" t="s">
        <v>450</v>
      </c>
      <c r="M109" s="144" t="s">
        <v>518</v>
      </c>
      <c r="AB109" s="144" t="s">
        <v>336</v>
      </c>
      <c r="AC109" s="144">
        <f>IF(AND($C$226&gt;0,$C$234&gt;0),AVERAGE($C$226,$C$234),IF($C$226&gt;0,$C$226,IF($C$234&gt;0,$C$234,0)))</f>
        <v>0</v>
      </c>
      <c r="AD109" s="144">
        <f>IF(AND($D$226&gt;0,$D$234&gt;0),MAX($D$226,$D$234),IF($D$226&gt;0,$D$226,IF($D$234&gt;0,$D$234,0)))</f>
        <v>0</v>
      </c>
      <c r="AE109" s="144" t="e">
        <f>IF(AND(#REF!&gt;0,Y102&gt;0),AVERAGE(#REF!,Y102),IF(#REF!&gt;0,#REF!,IF(Y102&gt;0,Y102,0)))</f>
        <v>#REF!</v>
      </c>
      <c r="AF109" s="144">
        <f>IF(AND($F$226&gt;0,$F$234&gt;0),MAX($F$226,$F$234),IF($F$226&gt;0,$F$226,IF($F$234&gt;0,$F$234,0)))</f>
        <v>0</v>
      </c>
    </row>
    <row r="110" spans="1:45">
      <c r="D110" s="144" t="s">
        <v>448</v>
      </c>
      <c r="E110" s="144" t="s">
        <v>424</v>
      </c>
      <c r="F110" s="144">
        <v>11</v>
      </c>
      <c r="G110" s="144" t="s">
        <v>419</v>
      </c>
      <c r="H110" s="186" t="s">
        <v>337</v>
      </c>
      <c r="I110" s="144">
        <f>H91</f>
        <v>0.13999999999999999</v>
      </c>
      <c r="J110" s="181">
        <v>660</v>
      </c>
      <c r="L110" s="144" t="s">
        <v>450</v>
      </c>
      <c r="AB110" s="144" t="s">
        <v>337</v>
      </c>
      <c r="AC110" s="144">
        <f>IF(AND($C$227&gt;0,$C$235&gt;0),AVERAGE($C$227,$C$235),IF($C$227&gt;0,$C$227,IF($C$235&gt;0,$C$235,0)))</f>
        <v>375.83333333333337</v>
      </c>
      <c r="AD110" s="144">
        <f>IF(AND($D$227&gt;0,$D$235&gt;0),MAX($D$227,$D$235),IF($D$227&gt;0,$D$227,IF($D$235&gt;0,$D$235,0)))</f>
        <v>0.80666666666666664</v>
      </c>
      <c r="AE110" s="144">
        <f>IF(AND(Y95&gt;0,Y103&gt;0),AVERAGE(Y95,Y103),IF(Y95&gt;0,Y95,IF(Y103&gt;0,Y103,0)))</f>
        <v>0</v>
      </c>
      <c r="AF110" s="144">
        <f>IF(AND($F$227&gt;0,$F$235&gt;0),MAX($F$227,$F$235),IF($F$227&gt;0,$F$227,IF($F$235&gt;0,$F$235,0)))</f>
        <v>0</v>
      </c>
    </row>
    <row r="111" spans="1:45">
      <c r="B111" s="144" t="s">
        <v>503</v>
      </c>
      <c r="C111" s="144" t="s">
        <v>521</v>
      </c>
      <c r="D111" s="144" t="s">
        <v>448</v>
      </c>
      <c r="E111" s="144" t="str">
        <f t="shared" ref="E111:I121" si="7">E100</f>
        <v>Gassum Aquifer</v>
      </c>
      <c r="F111" s="144">
        <f t="shared" si="7"/>
        <v>1</v>
      </c>
      <c r="G111" s="144" t="str">
        <f t="shared" si="7"/>
        <v>Denmark/Norway</v>
      </c>
      <c r="H111" s="186" t="str">
        <f t="shared" si="7"/>
        <v>Offshore</v>
      </c>
      <c r="I111" s="144">
        <f t="shared" si="7"/>
        <v>0.6166666666666667</v>
      </c>
      <c r="J111" s="183">
        <v>420</v>
      </c>
      <c r="L111" s="144" t="s">
        <v>450</v>
      </c>
      <c r="M111" s="144" t="s">
        <v>520</v>
      </c>
      <c r="AB111" s="144" t="s">
        <v>336</v>
      </c>
      <c r="AC111" s="144">
        <f>IF(AND($C$228&gt;0,$C$236&gt;0),AVERAGE($C$228,$C$236),IF($C$228&gt;0,$C$228,IF($C$236&gt;0,$C$236,0)))</f>
        <v>0</v>
      </c>
      <c r="AD111" s="144">
        <f>IF(AND($D$228&gt;0,$D$236&gt;0),MAX($D$228,$D$236),IF($D$228&gt;0,$D$228,IF($D$236&gt;0,$D$236,0)))</f>
        <v>0</v>
      </c>
      <c r="AE111" s="144">
        <f>IF(AND($E$228&gt;0,$E$236&gt;0),AVERAGE($E$228,$E$236),IF($E$228&gt;0,$E$228,IF($E$236&gt;0,$E$236,0)))</f>
        <v>0</v>
      </c>
      <c r="AF111" s="144">
        <f>IF(AND($F$228&gt;0,$F$236&gt;0),MAX($F$228,$F$236),IF($F$228&gt;0,$F$228,IF($F$236&gt;0,$F$236,0)))</f>
        <v>0</v>
      </c>
    </row>
    <row r="112" spans="1:45">
      <c r="D112" s="144" t="s">
        <v>448</v>
      </c>
      <c r="E112" s="144" t="str">
        <f t="shared" si="7"/>
        <v>Hanstholm structure</v>
      </c>
      <c r="F112" s="144">
        <f t="shared" si="7"/>
        <v>2</v>
      </c>
      <c r="G112" s="144" t="str">
        <f t="shared" si="7"/>
        <v>Denmark</v>
      </c>
      <c r="H112" s="186" t="str">
        <f t="shared" si="7"/>
        <v>Offshore</v>
      </c>
      <c r="I112" s="144">
        <f t="shared" si="7"/>
        <v>0.46666666666666662</v>
      </c>
      <c r="J112" s="183">
        <v>450</v>
      </c>
      <c r="L112" s="144" t="s">
        <v>450</v>
      </c>
      <c r="M112" s="144" t="s">
        <v>519</v>
      </c>
      <c r="AB112" s="144" t="s">
        <v>337</v>
      </c>
      <c r="AC112" s="144">
        <f>IF(AND($C$229&gt;0,$C$237&gt;0),AVERAGE($C$229,$C$237),IF($C$229&gt;0,$C$229,IF($C$237&gt;0,$C$237,0)))</f>
        <v>585</v>
      </c>
      <c r="AD112" s="144">
        <f>IF(AND($D$229&gt;0,$D$237&gt;0),MAX($D$229,$D$237),IF($D$229&gt;0,$D$229,IF($D$237&gt;0,$D$237,0)))</f>
        <v>6.9916666666666663</v>
      </c>
      <c r="AE112" s="144">
        <f>IF(AND($E$229&gt;0,$E$237&gt;0),AVERAGE($E$229,$E$237),IF($E$229&gt;0,$E$229,IF($E$237&gt;0,$E$237,0)))</f>
        <v>615</v>
      </c>
      <c r="AF112" s="144">
        <f>IF(AND($F$229&gt;0,$F$237&gt;0),MAX($F$229,$F$237),IF($F$229&gt;0,$F$229,IF($F$237&gt;0,$F$237,0)))</f>
        <v>1.5</v>
      </c>
    </row>
    <row r="113" spans="4:32">
      <c r="D113" s="144" t="s">
        <v>448</v>
      </c>
      <c r="E113" s="144" t="str">
        <f t="shared" si="7"/>
        <v>Thisted structure</v>
      </c>
      <c r="F113" s="144">
        <f t="shared" si="7"/>
        <v>3</v>
      </c>
      <c r="G113" s="144" t="str">
        <f t="shared" si="7"/>
        <v>Denmark</v>
      </c>
      <c r="H113" s="144" t="str">
        <f t="shared" si="7"/>
        <v>Onshore</v>
      </c>
      <c r="I113" s="144">
        <f t="shared" si="7"/>
        <v>5.5</v>
      </c>
      <c r="J113" s="183">
        <v>450</v>
      </c>
      <c r="L113" s="144" t="s">
        <v>450</v>
      </c>
      <c r="AA113" s="144" t="s">
        <v>446</v>
      </c>
      <c r="AB113" s="144" t="s">
        <v>336</v>
      </c>
      <c r="AC113" s="144">
        <f>IFERROR(AVERAGEIFS($J$242:$J$243,$J$242:$J$243,"&lt;=180",$H$242:$H$243,"=Onshore",$D$242:$D$243,"=Saline"),0)</f>
        <v>0</v>
      </c>
      <c r="AD113" s="144">
        <f>IFERROR(SUMIFS($I$242:$I$243,$J$242:$J$243,"&lt;=180",$H$242:$H$243,"=Onshore",$D$242:$D$243,"=Saline"),0)</f>
        <v>0</v>
      </c>
      <c r="AE113" s="144">
        <f>IFERROR(AVERAGEIFS($J$242:$J$243,$J$242:$J$243,"&lt;=180",$H$242:$H$243,"=Onshore",$D$242:$D$243,"=Carbon"),0)</f>
        <v>0</v>
      </c>
      <c r="AF113" s="144">
        <f>IFERROR(SUMIFS($I$242:$I$243,$J$242:$J$243,"&lt;=180",$H$242:$H$243,"=Onshore",$D$242:$D$243,"=Carbon"),0)</f>
        <v>0</v>
      </c>
    </row>
    <row r="114" spans="4:32">
      <c r="D114" s="144" t="s">
        <v>448</v>
      </c>
      <c r="E114" s="144" t="str">
        <f t="shared" si="7"/>
        <v>Gassum structure</v>
      </c>
      <c r="F114" s="144">
        <f t="shared" si="7"/>
        <v>4</v>
      </c>
      <c r="G114" s="144" t="str">
        <f t="shared" si="7"/>
        <v>Denmark</v>
      </c>
      <c r="H114" s="144" t="str">
        <f t="shared" si="7"/>
        <v>Onshore</v>
      </c>
      <c r="I114" s="144">
        <f t="shared" si="7"/>
        <v>0.3</v>
      </c>
      <c r="J114" s="183">
        <v>300</v>
      </c>
      <c r="L114" s="144" t="s">
        <v>450</v>
      </c>
      <c r="AB114" s="144" t="s">
        <v>337</v>
      </c>
      <c r="AC114" s="144">
        <f>IFERROR(AVERAGEIFS($J$242:$J$243,$J$242:$J$243,"&lt;=180",$H$242:$H$243,"=Offshore",$D$242:$D$243,"=Saline"),0)</f>
        <v>0</v>
      </c>
      <c r="AD114" s="144">
        <f>IFERROR(SUMIFS($I$242:$I$243,$J$242:$J$243,"&lt;=180",$H$242:$H$243,"=Offshore",$D$242:$D$243,"=Saline"),0)</f>
        <v>0</v>
      </c>
      <c r="AE114" s="144">
        <f>IFERROR(AVERAGEIFS($J$242:$J$243,$J$242:$J$243,"&lt;=180",$H$242:$H$243,"=Offshore",$D$242:$D$243,"=Carbon"),0)</f>
        <v>0</v>
      </c>
      <c r="AF114" s="144">
        <f>IFERROR(SUMIFS($I$242:$I$243,$J$242:$J$243,"&lt;=180",$H$242:$H$243,"=Offshore",$D$242:$D$243,"=Carbon"),0)</f>
        <v>0</v>
      </c>
    </row>
    <row r="115" spans="4:32">
      <c r="D115" s="144" t="s">
        <v>448</v>
      </c>
      <c r="E115" s="144" t="str">
        <f t="shared" si="7"/>
        <v>Accumulated Mid/Southern Jutland (Voldum, Paarum, Tønder formations)</v>
      </c>
      <c r="F115" s="144">
        <f t="shared" si="7"/>
        <v>5</v>
      </c>
      <c r="G115" s="144" t="str">
        <f t="shared" si="7"/>
        <v>Denmark</v>
      </c>
      <c r="H115" s="144" t="str">
        <f t="shared" si="7"/>
        <v>Onshore</v>
      </c>
      <c r="I115" s="144">
        <f t="shared" si="7"/>
        <v>0.24</v>
      </c>
      <c r="J115" s="183">
        <v>250</v>
      </c>
      <c r="L115" s="144" t="s">
        <v>450</v>
      </c>
      <c r="AB115" s="144" t="s">
        <v>336</v>
      </c>
      <c r="AC115" s="144">
        <f>IFERROR(AVERAGEIFS($J$242:$J$243,$J$242:$J$243,"&gt;180",$J$242:$J$243,"&lt;=500",$H$242:$H$243,"=Onshore",$D$242:$D$243,"=Saline"),0)</f>
        <v>0</v>
      </c>
      <c r="AD115" s="144">
        <f>SUMIFS($I$242:$I$243,$J$242:$J$243,"&gt;180",$J$242:$J$243,"&lt;=500",$H$242:$H$243,"=Onshore",$D$242:$D$243,"=Saline")</f>
        <v>0</v>
      </c>
      <c r="AE115" s="144">
        <f>IFERROR(AVERAGEIFS($J$242:$J$243,$J$242:$J$243,"&gt;180",$J$242:$J$243,"&lt;=500",$H$242:$H$243,"=Onshore",$D$242:$D$243,"=Carbon"),0)</f>
        <v>0</v>
      </c>
      <c r="AF115" s="144">
        <f>SUMIFS($I$242:$I$243,$J$242:$J$243,"&gt;180",$J$242:$J$243,"&lt;=500",$H$242:$H$243,"=Onshore",$D$242:$D$243,"=Carbon")</f>
        <v>0</v>
      </c>
    </row>
    <row r="116" spans="4:32">
      <c r="D116" s="144" t="s">
        <v>448</v>
      </c>
      <c r="E116" s="144" t="str">
        <f t="shared" si="7"/>
        <v>Accumulated West/Southern Zealand (Havnsø, Stenlille, Rødby)</v>
      </c>
      <c r="F116" s="144">
        <f t="shared" si="7"/>
        <v>6</v>
      </c>
      <c r="G116" s="144" t="str">
        <f t="shared" si="7"/>
        <v>Denmark</v>
      </c>
      <c r="H116" s="144" t="str">
        <f t="shared" si="7"/>
        <v>Onshore</v>
      </c>
      <c r="I116" s="144">
        <f t="shared" si="7"/>
        <v>0.57500000000000007</v>
      </c>
      <c r="J116" s="184">
        <v>60</v>
      </c>
      <c r="L116" s="144" t="s">
        <v>450</v>
      </c>
      <c r="AB116" s="144" t="s">
        <v>337</v>
      </c>
      <c r="AC116" s="180">
        <f>IFERROR(AVERAGEIFS($J$242:$J$243,$J$242:$J$243,"&gt;180",$J$242:$J$243,"&lt;=500",$H$242:$H$243,"=Offshore",$D$242:$D$243,"=Saline"),0)</f>
        <v>0</v>
      </c>
      <c r="AD116" s="144">
        <f>IFERROR(SUMIFS($I$242:$I$243,$J$242:$J$243,"&gt;180",$J$242:$J$243,"&lt;=500",$H$242:$H$243,"=Offshore",$D$242:$D$243,"=Saline"),0)</f>
        <v>0</v>
      </c>
      <c r="AE116" s="180">
        <f>IFERROR(AVERAGEIFS($J$242:$J$243,$J$242:$J$243,"&gt;180",$J$242:$J$243,"&lt;=500",$H$242:$H$243,"=Offshore",$D$242:$D$243,"=Carbon"),0)</f>
        <v>0</v>
      </c>
      <c r="AF116" s="144">
        <f>IFERROR(SUMIFS($I$242:$I$243,$J$242:$J$243,"&gt;180",$J$242:$J$243,"&lt;=500",$H$242:$H$243,"=Offshore",$D$242:$D$243,"=Carbon"),0)</f>
        <v>0</v>
      </c>
    </row>
    <row r="117" spans="4:32">
      <c r="D117" s="144" t="s">
        <v>448</v>
      </c>
      <c r="E117" s="144" t="str">
        <f t="shared" si="7"/>
        <v>Anager Greensand + Höganäs - Rya storage unit</v>
      </c>
      <c r="F117" s="144">
        <f t="shared" si="7"/>
        <v>7</v>
      </c>
      <c r="G117" s="144" t="str">
        <f t="shared" si="7"/>
        <v>Sweden</v>
      </c>
      <c r="H117" s="186" t="str">
        <f t="shared" si="7"/>
        <v>Offshore</v>
      </c>
      <c r="I117" s="144">
        <f t="shared" si="7"/>
        <v>0.2</v>
      </c>
      <c r="J117" s="184">
        <v>40</v>
      </c>
      <c r="L117" s="144" t="s">
        <v>450</v>
      </c>
      <c r="AB117" s="144" t="s">
        <v>336</v>
      </c>
      <c r="AC117" s="144">
        <f>IFERROR(AVERAGEIFS($J$242:$J$243,$J$242:$J$243,"&gt;500",$H$242:$H$243,"=Onshore",$D$242:$D$243,"=Saline"),0)</f>
        <v>0</v>
      </c>
      <c r="AD117" s="144">
        <f>IFERROR(SUMIFS($I$242:$I$243,$J$242:$J$243,"&gt;500",$H$242:$H$243,"=Onshore",$D$242:$D$243,"=Saline"),0)</f>
        <v>0</v>
      </c>
      <c r="AE117" s="144">
        <f>IFERROR(AVERAGEIFS($J$242:$J$243,$J$242:$J$243,"&gt;500",$H$242:$H$243,"=Onshore",$D$242:$D$243,"=Carbon"),0)</f>
        <v>0</v>
      </c>
      <c r="AF117" s="144">
        <f>IFERROR(SUMIFS($I$242:$I$243,$J$242:$J$243,"&gt;500",$H$242:$H$243,"=Onshore",$D$242:$D$243,"=Carbon"),0)</f>
        <v>0</v>
      </c>
    </row>
    <row r="118" spans="4:32">
      <c r="D118" s="144" t="s">
        <v>476</v>
      </c>
      <c r="E118" s="144" t="str">
        <f t="shared" si="7"/>
        <v>Hydrocarbon fields</v>
      </c>
      <c r="F118" s="144">
        <f t="shared" si="7"/>
        <v>8</v>
      </c>
      <c r="G118" s="144" t="str">
        <f t="shared" si="7"/>
        <v>Denmark</v>
      </c>
      <c r="H118" s="186" t="str">
        <f t="shared" si="7"/>
        <v>Offshore</v>
      </c>
      <c r="I118" s="144">
        <f t="shared" si="7"/>
        <v>1.1000000000000001</v>
      </c>
      <c r="J118" s="183">
        <v>340</v>
      </c>
      <c r="L118" s="144" t="s">
        <v>450</v>
      </c>
      <c r="AB118" s="144" t="s">
        <v>337</v>
      </c>
      <c r="AC118" s="144">
        <f>IFERROR(AVERAGEIFS($J$242:$J$243,$J$242:$J$243,"&gt;500",$H$242:$H$243,"=Offshore",$D$242:$D$243,"=Saline"),0)</f>
        <v>915</v>
      </c>
      <c r="AD118" s="144">
        <f>IFERROR(SUMIFS($I$242:$I$243,$J$242:$J$243,"&gt;500",$H$242:$H$243,"=Offshore",$D$242:$D$243,"=Saline"),0)</f>
        <v>0.33999999999999997</v>
      </c>
      <c r="AE118" s="144">
        <f>IFERROR(AVERAGEIFS($J$242:$J$243,$J$242:$J$243,"&gt;500",$H$242:$H$243,"=Offshore",$D$242:$D$243,"=Carbon"),0)</f>
        <v>0</v>
      </c>
      <c r="AF118" s="144">
        <f>IFERROR(SUMIFS($I$242:$I$243,$J$242:$J$243,"&gt;500",$H$242:$H$243,"=Offshore",$D$242:$D$243,"=Carbon"),0)</f>
        <v>0</v>
      </c>
    </row>
    <row r="119" spans="4:32">
      <c r="D119" s="144" t="s">
        <v>448</v>
      </c>
      <c r="E119" s="144" t="str">
        <f t="shared" si="7"/>
        <v>Norway South accumulated (Heimdal, Frigg, Krossfjord, Flensfjord, Johannes, Skade, Sognefjord, Statfjord)</v>
      </c>
      <c r="F119" s="144">
        <f t="shared" si="7"/>
        <v>9</v>
      </c>
      <c r="G119" s="144" t="str">
        <f t="shared" si="7"/>
        <v>Norway</v>
      </c>
      <c r="H119" s="186" t="str">
        <f t="shared" si="7"/>
        <v>Offshore</v>
      </c>
      <c r="I119" s="144">
        <f t="shared" si="7"/>
        <v>6.9916666666666663</v>
      </c>
      <c r="J119" s="181">
        <v>880</v>
      </c>
      <c r="L119" s="144" t="s">
        <v>450</v>
      </c>
      <c r="AA119" s="144" t="s">
        <v>445</v>
      </c>
      <c r="AB119" s="144" t="s">
        <v>336</v>
      </c>
      <c r="AC119" s="144">
        <f>IFERROR(AVERAGEIFS($J$244:$J$245,$J$244:$J$245,"&lt;=180",$H$244:$H$245,"=Onshore",$D$244:$D$245,"=Saline"),0)</f>
        <v>0</v>
      </c>
      <c r="AD119" s="144">
        <f>IFERROR(SUMIFS($I$244:$I$245,$J$244:$J$245,"&lt;=180",$H$244:$H$245,"=Onshore",$D$244:$D$245,"=Saline"),0)</f>
        <v>0</v>
      </c>
      <c r="AE119" s="144">
        <f>IFERROR(AVERAGEIFS($J$244:$J$245,$J$244:$J$245,"&lt;=180",$H$244:$H$245,"=Onshore",$D$244:$D$245,"=Carbon"),0)</f>
        <v>0</v>
      </c>
      <c r="AF119" s="144">
        <f>IFERROR(SUMIFS($I$244:$I$245,$J$244:$J$245,"&lt;=180",$H$244:$H$245,"=Onshore",$D$244:$D$245,"=Carbon"),0)</f>
        <v>0</v>
      </c>
    </row>
    <row r="120" spans="4:32">
      <c r="D120" s="144" t="s">
        <v>476</v>
      </c>
      <c r="E120" s="144" t="str">
        <f t="shared" si="7"/>
        <v>Norway southern hydrocarbon fields</v>
      </c>
      <c r="F120" s="144">
        <f t="shared" si="7"/>
        <v>10</v>
      </c>
      <c r="G120" s="144" t="str">
        <f t="shared" si="7"/>
        <v>Norway</v>
      </c>
      <c r="H120" s="186" t="str">
        <f t="shared" si="7"/>
        <v>Offshore</v>
      </c>
      <c r="I120" s="144">
        <f t="shared" si="7"/>
        <v>1.5</v>
      </c>
      <c r="J120" s="181">
        <v>900</v>
      </c>
      <c r="L120" s="144" t="s">
        <v>450</v>
      </c>
      <c r="M120" s="144" t="s">
        <v>518</v>
      </c>
      <c r="AB120" s="144" t="s">
        <v>337</v>
      </c>
      <c r="AC120" s="144">
        <f>IFERROR(AVERAGEIFS($J$244:$J$245,$J$244:$J$245,"&lt;=180",$H$244:$H$245,"=Offshore",$D$244:$D$245,"=Saline"),0)</f>
        <v>0</v>
      </c>
      <c r="AD120" s="144">
        <f>IFERROR(SUMIFS($I$244:$I$245,$J$244:$J$245,"&lt;=180",$H$244:$H$245,"=Offshore",$D$244:$D$245,"=Saline"),0)</f>
        <v>0</v>
      </c>
      <c r="AE120" s="144">
        <f>IFERROR(AVERAGEIFS($J$244:$J$245,$J$244:$J$245,"&lt;=180",$H$244:$H$245,"=Offshore",$D$244:$D$245,"=Carbon"),0)</f>
        <v>0</v>
      </c>
      <c r="AF120" s="144">
        <f>IFERROR(SUMIFS($I$244:$I$245,$J$244:$J$245,"&lt;=180",$H$244:$H$245,"=Offshore",$D$244:$D$245,"=Carbon"),0)</f>
        <v>0</v>
      </c>
    </row>
    <row r="121" spans="4:32">
      <c r="D121" s="144" t="s">
        <v>448</v>
      </c>
      <c r="E121" s="144" t="str">
        <f t="shared" si="7"/>
        <v>Faludden</v>
      </c>
      <c r="F121" s="144">
        <f t="shared" si="7"/>
        <v>11</v>
      </c>
      <c r="G121" s="144" t="str">
        <f t="shared" si="7"/>
        <v>Sweden</v>
      </c>
      <c r="H121" s="186" t="str">
        <f t="shared" si="7"/>
        <v>Offshore</v>
      </c>
      <c r="I121" s="144">
        <f t="shared" si="7"/>
        <v>0.13999999999999999</v>
      </c>
      <c r="J121" s="183">
        <v>400</v>
      </c>
      <c r="L121" s="144" t="s">
        <v>450</v>
      </c>
      <c r="AB121" s="144" t="s">
        <v>336</v>
      </c>
      <c r="AC121" s="144">
        <f>IFERROR(AVERAGEIFS($J$244:$J$245,$J$244:$J$245,"&gt;180",$J$244:$J$245,"&lt;=500",$H$244:$H$245,"=Onshore",$D$244:$D$245,"=Saline"),0)</f>
        <v>0</v>
      </c>
      <c r="AD121" s="144">
        <f>SUMIFS($I$244:$I$245,$J$244:$J$245,"&gt;180",$J$244:$J$245,"&lt;=500",$H$244:$H$245,"=Onshore",$D$244:$D$245,"=Saline")</f>
        <v>0</v>
      </c>
      <c r="AE121" s="144">
        <f>IFERROR(AVERAGEIFS($J$244:$J$245,$J$244:$J$245,"&gt;180",$J$244:$J$245,"&lt;=500",$H$244:$H$245,"=Onshore",$D$244:$D$245,"=Carbon"),0)</f>
        <v>0</v>
      </c>
      <c r="AF121" s="144">
        <f>SUMIFS($I$244:$I$245,$J$244:$J$245,"&gt;180",$J$244:$J$245,"&lt;=500",$H$244:$H$245,"=Onshore",$D$244:$D$245,"=Carbon")</f>
        <v>0</v>
      </c>
    </row>
    <row r="122" spans="4:32">
      <c r="AB122" s="144" t="s">
        <v>337</v>
      </c>
      <c r="AC122" s="180">
        <f>IFERROR(AVERAGEIFS($J$244:$J$245,$J$244:$J$245,"&gt;180",$J$244:$J$245,"&lt;=500",$H$244:$H$245,"=Offshore",$D$244:$D$245,"=Saline"),0)</f>
        <v>0</v>
      </c>
      <c r="AD122" s="144">
        <f>IFERROR(SUMIFS($I$244:$I$245,$J$244:$J$245,"&gt;180",$J$244:$J$245,"&lt;=500",$H$244:$H$245,"=Offshore",$D$244:$D$245,"=Saline"),0)</f>
        <v>0</v>
      </c>
      <c r="AE122" s="180">
        <f>IFERROR(AVERAGEIFS($J$244:$J$245,$J$244:$J$245,"&gt;180",$J$244:$J$245,"&lt;=500",$H$244:$H$245,"=Offshore",$D$244:$D$245,"=Carbon"),0)</f>
        <v>0</v>
      </c>
      <c r="AF122" s="144">
        <f>IFERROR(SUMIFS($I$244:$I$245,$J$244:$J$245,"&gt;180",$J$244:$J$245,"&lt;=500",$H$244:$H$245,"=Offshore",$D$244:$D$245,"=Carbon"),0)</f>
        <v>0</v>
      </c>
    </row>
    <row r="123" spans="4:32">
      <c r="AB123" s="144" t="s">
        <v>336</v>
      </c>
      <c r="AC123" s="144">
        <f>IFERROR(AVERAGEIFS($J$244:$J$245,$J$244:$J$245,"&gt;500",$H$244:$H$245,"=Onshore",$D$244:$D$245,"=Saline"),0)</f>
        <v>0</v>
      </c>
      <c r="AD123" s="144">
        <f>IFERROR(SUMIFS($I$244:$I$245,$J$244:$J$245,"&gt;500",$H$244:$H$245,"=Onshore",$D$244:$D$245,"=Saline"),0)</f>
        <v>0</v>
      </c>
      <c r="AE123" s="144">
        <f>IFERROR(AVERAGEIFS($J$244:$J$245,$J$244:$J$245,"&gt;500",$H$244:$H$245,"=Onshore",$D$244:$D$245,"=Carbon"),0)</f>
        <v>0</v>
      </c>
      <c r="AF123" s="144">
        <f>IFERROR(SUMIFS($I$244:$I$245,$J$244:$J$245,"&gt;500",$H$244:$H$245,"=Onshore",$D$244:$D$245,"=Carbon"),0)</f>
        <v>0</v>
      </c>
    </row>
    <row r="124" spans="4:32">
      <c r="AB124" s="144" t="s">
        <v>337</v>
      </c>
      <c r="AC124" s="144">
        <f>IFERROR(AVERAGEIFS($J$244:$J$245,$J$244:$J$245,"&gt;500",$H$244:$H$245,"=Offshore",$D$244:$D$245,"=Saline"),0)</f>
        <v>1280</v>
      </c>
      <c r="AD124" s="144">
        <f>IFERROR(SUMIFS($I$242:$I$243,$J$242:$J$243,"&gt;500",$H$242:$H$243,"=Offshore",$D$244:$D$245,"=Saline"),0)</f>
        <v>0.33999999999999997</v>
      </c>
      <c r="AE124" s="144">
        <f>IFERROR(AVERAGEIFS($J$244:$J$245,$J$244:$J$245,"&gt;500",$H$244:$H$245,"=Offshore",$D$244:$D$245,"=Carbon"),0)</f>
        <v>0</v>
      </c>
      <c r="AF124" s="144">
        <f>IFERROR(SUMIFS($I$242:$I$243,$J$242:$J$243,"&gt;500",$H$242:$H$243,"=Offshore",$D$244:$D$245,"=Carbon"),0)</f>
        <v>0</v>
      </c>
    </row>
    <row r="125" spans="4:32">
      <c r="AA125" s="144" t="s">
        <v>517</v>
      </c>
      <c r="AD125" s="144">
        <f>SUM(AC58:AC129)</f>
        <v>10510.833333333332</v>
      </c>
      <c r="AF125" s="144" t="e">
        <f>SUM(AE58:AE129)</f>
        <v>#REF!</v>
      </c>
    </row>
    <row r="126" spans="4:32">
      <c r="AB126" s="180"/>
      <c r="AD126" s="180"/>
    </row>
    <row r="127" spans="4:32">
      <c r="AB127" s="180"/>
      <c r="AD127" s="180"/>
    </row>
    <row r="128" spans="4:32">
      <c r="AB128" s="180"/>
      <c r="AD128" s="180"/>
    </row>
    <row r="129" spans="1:30">
      <c r="AB129" s="180"/>
      <c r="AD129" s="180"/>
    </row>
    <row r="130" spans="1:30">
      <c r="D130" s="144" t="s">
        <v>516</v>
      </c>
      <c r="J130" s="144" t="s">
        <v>483</v>
      </c>
    </row>
    <row r="131" spans="1:30">
      <c r="D131" s="144" t="s">
        <v>515</v>
      </c>
      <c r="E131" s="144" t="s">
        <v>514</v>
      </c>
    </row>
    <row r="132" spans="1:30">
      <c r="D132" s="144" t="s">
        <v>513</v>
      </c>
      <c r="E132" s="144" t="s">
        <v>512</v>
      </c>
      <c r="F132" s="144" t="s">
        <v>511</v>
      </c>
    </row>
    <row r="133" spans="1:30">
      <c r="D133" s="144" t="s">
        <v>510</v>
      </c>
      <c r="E133" s="144" t="s">
        <v>509</v>
      </c>
    </row>
    <row r="134" spans="1:30">
      <c r="D134" s="144" t="s">
        <v>504</v>
      </c>
      <c r="F134" s="144" t="s">
        <v>447</v>
      </c>
    </row>
    <row r="135" spans="1:30">
      <c r="A135" s="144" t="s">
        <v>508</v>
      </c>
      <c r="C135" s="144" t="s">
        <v>444</v>
      </c>
      <c r="D135" s="144" t="s">
        <v>443</v>
      </c>
      <c r="E135" s="144" t="s">
        <v>444</v>
      </c>
      <c r="F135" s="144" t="s">
        <v>443</v>
      </c>
      <c r="S135" s="144" t="s">
        <v>507</v>
      </c>
    </row>
    <row r="136" spans="1:30">
      <c r="A136" s="144" t="s">
        <v>336</v>
      </c>
      <c r="B136" s="144" t="s">
        <v>442</v>
      </c>
      <c r="C136" s="144">
        <f>IFERROR(AVERAGEIFS($J$100:$J$110,$J$100:$J$110,"&lt;=180",$H$100:$H$110,"=Onshore",$D$100:$D$110,"=Saline"),0)</f>
        <v>98.333333333333329</v>
      </c>
      <c r="D136" s="144">
        <f>IFERROR(SUMIFS($I$100:$I$110,$J$100:$J$110,"&lt;=180",$H$100:$H$110,"=Onshore",$D$100:$D$110,"=Saline"),0)</f>
        <v>6.04</v>
      </c>
      <c r="E136" s="144">
        <f>IFERROR(AVERAGEIFS($J$100:$J$110,$J$100:$J$110,"&lt;=180",$H$100:$H$110,"=Onshore",$D$100:$D$110,"=Carbon"),0)</f>
        <v>0</v>
      </c>
      <c r="F136" s="144">
        <f>IFERROR(SUMIFS($I$100:$I$110,$J$100:$J$110,"&lt;=180",$H$100:$H$110,"=Onshore",$D$100:$D$110,"=Carbon"),0)</f>
        <v>0</v>
      </c>
      <c r="S136" s="144" t="s">
        <v>506</v>
      </c>
    </row>
    <row r="137" spans="1:30">
      <c r="A137" s="144" t="s">
        <v>337</v>
      </c>
      <c r="B137" s="144" t="s">
        <v>442</v>
      </c>
      <c r="C137" s="144">
        <f>IFERROR(AVERAGEIFS($J$100:$J$110,$J$100:$J$110,"&lt;=180",$H$100:$H$110,"=Offshore",$D$100:$D$110,"=Saline"),0)</f>
        <v>115</v>
      </c>
      <c r="D137" s="144">
        <f>IFERROR(SUMIFS($I$100:$I$110,$J$100:$J$110,"&lt;=180",$H$100:$H$110,"=Offshore",$D$100:$D$110,"=Saline"),0)</f>
        <v>1.0833333333333333</v>
      </c>
      <c r="E137" s="144">
        <f>IFERROR(AVERAGEIFS($J$100:$J$110,$J$100:$J$110,"&lt;=180",$H$100:$H$110,"=Offshore",$D$100:$D$110,"=Carbon"),0)</f>
        <v>0</v>
      </c>
      <c r="F137" s="144">
        <f>IFERROR(SUMIFS($I$100:$I$110,$J$100:$J$110,"&lt;=180",$H$100:$H$110,"=Offshore",$D$100:$D$110,"=Carbon"),0)</f>
        <v>0</v>
      </c>
      <c r="S137" s="144" t="s">
        <v>505</v>
      </c>
    </row>
    <row r="138" spans="1:30">
      <c r="A138" s="144" t="s">
        <v>336</v>
      </c>
      <c r="B138" s="144" t="s">
        <v>441</v>
      </c>
      <c r="C138" s="144">
        <f>IFERROR(AVERAGEIFS($J$100:$J$110,$J$100:$J$110,"&gt;180",$J$100:$J$110,"&lt;=500",$H$100:$H$110,"=Onshore",$D$100:$D$110,"=Saline"),0)</f>
        <v>350</v>
      </c>
      <c r="D138" s="144">
        <f>SUMIFS($I$100:$I$110,$J$100:$J$110,"&gt;180",$J$100:$J$110,"&lt;=500",$H$100:$H$110,"=Onshore",$D$100:$D$110,"=Saline")</f>
        <v>0.57500000000000007</v>
      </c>
      <c r="E138" s="144">
        <f>IFERROR(AVERAGEIFS($J$100:$J$110,$J$100:$J$110,"&gt;180",$J$100:$J$110,"&lt;=500",$H$100:$H$110,"=Onshore",$D$100:$D$110,"=Carbon"),0)</f>
        <v>0</v>
      </c>
      <c r="F138" s="144">
        <f>SUMIFS($I$100:$I$110,$J$100:$J$110,"&gt;180",$J$100:$J$110,"&lt;=500",$H$100:$H$110,"=Onshore",$D$100:$D$110,"=Carbon")</f>
        <v>0</v>
      </c>
    </row>
    <row r="139" spans="1:30">
      <c r="A139" s="144" t="s">
        <v>337</v>
      </c>
      <c r="B139" s="144" t="s">
        <v>441</v>
      </c>
      <c r="C139" s="180">
        <f>IFERROR(AVERAGEIFS($J$100:$J$110,$J$100:$J$110,"&gt;180",$J$100:$J$110,"&lt;=500",$H$100:$H$110,"=Offshore",$D$100:$D$110,"=Saline"),0)</f>
        <v>395</v>
      </c>
      <c r="D139" s="144">
        <f>IFERROR(SUMIFS($I$100:$I$110,$J$100:$J$110,"&gt;180",$J$100:$J$110,"&lt;=500",$H$100:$H$110,"=Offshore",$D$100:$D$110,"=Saline"),0)</f>
        <v>7.1916666666666664</v>
      </c>
      <c r="E139" s="180">
        <f>IFERROR(AVERAGEIFS($J$100:$J$110,$J$100:$J$110,"&gt;180",$J$100:$J$110,"&lt;=500",$H$100:$H$110,"=Offshore",$D$100:$D$110,"=Carbon"),0)</f>
        <v>450</v>
      </c>
      <c r="F139" s="144">
        <f>IFERROR(SUMIFS($I$100:$I$110,$J$100:$J$110,"&gt;180",$J$100:$J$110,"&lt;=500",$H$100:$H$110,"=Offshore",$D$100:$D$110,"=Carbon"),0)</f>
        <v>2.6</v>
      </c>
      <c r="S139" s="144" t="s">
        <v>505</v>
      </c>
    </row>
    <row r="140" spans="1:30">
      <c r="A140" s="144" t="s">
        <v>336</v>
      </c>
      <c r="B140" s="144" t="s">
        <v>440</v>
      </c>
      <c r="C140" s="144">
        <f>IFERROR(AVERAGEIFS($J$100:$J$110,$J$100:$J$110,"&gt;500",$H$100:$H$110,"=Onshore",$D$100:$D$110,"=Saline"),0)</f>
        <v>0</v>
      </c>
      <c r="D140" s="144">
        <f>IFERROR(SUMIFS($I$100:$I$110,$J$100:$J$110,"&gt;500",$H$100:$H$110,"=Onshore",$D$100:$D$110,"=Saline"),0)</f>
        <v>0</v>
      </c>
      <c r="E140" s="144">
        <f>IFERROR(AVERAGEIFS($J$100:$J$110,$J$100:$J$110,"&gt;500",$H$100:$H$110,"=Onshore",$D$100:$D$110,"=Carbon"),0)</f>
        <v>0</v>
      </c>
      <c r="F140" s="144">
        <f>IFERROR(SUMIFS($I$100:$I$110,$J$100:$J$110,"&gt;500",$H$100:$H$110,"=Onshore",$D$100:$D$110,"=Carbon"),0)</f>
        <v>0</v>
      </c>
    </row>
    <row r="141" spans="1:30">
      <c r="A141" s="144" t="s">
        <v>337</v>
      </c>
      <c r="B141" s="144" t="s">
        <v>440</v>
      </c>
      <c r="C141" s="144">
        <f>IFERROR(AVERAGEIFS($J$100:$J$110,$J$100:$J$110,"&gt;500",$H$100:$H$110,"=Offshore",$D$100:$D$110,"=Saline"),0)</f>
        <v>660</v>
      </c>
      <c r="D141" s="144">
        <f>IFERROR(SUMIFS($I$100:$I$110,$J$100:$J$110,"&gt;500",$H$100:$H$110,"=Offshore",$D$100:$D$110,"=Saline"),0)</f>
        <v>0.13999999999999999</v>
      </c>
      <c r="E141" s="144">
        <f>IFERROR(AVERAGEIFS($J$100:$J$110,$J$100:$J$110,"&gt;500",$H$100:$H$110,"=Offshore",$D$100:$D$110,"=Carbon"),0)</f>
        <v>0</v>
      </c>
      <c r="F141" s="144">
        <f>IFERROR(SUMIFS($I$100:$I$110,$J$100:$J$110,"&gt;500",$H$100:$H$110,"=Offshore",$D$100:$D$110,"=Carbon"),0)</f>
        <v>0</v>
      </c>
      <c r="S141" s="144" t="s">
        <v>505</v>
      </c>
    </row>
    <row r="142" spans="1:30">
      <c r="D142" s="144" t="s">
        <v>504</v>
      </c>
      <c r="F142" s="144" t="s">
        <v>447</v>
      </c>
    </row>
    <row r="143" spans="1:30">
      <c r="A143" s="144" t="s">
        <v>503</v>
      </c>
      <c r="C143" s="144" t="s">
        <v>444</v>
      </c>
      <c r="D143" s="144" t="s">
        <v>443</v>
      </c>
      <c r="E143" s="144" t="s">
        <v>444</v>
      </c>
      <c r="F143" s="144" t="s">
        <v>443</v>
      </c>
    </row>
    <row r="144" spans="1:30">
      <c r="A144" s="144" t="s">
        <v>336</v>
      </c>
      <c r="B144" s="144" t="s">
        <v>442</v>
      </c>
      <c r="C144" s="144">
        <f>IFERROR(AVERAGEIFS($J$111:$J$121,$J$111:$J$121,"&lt;=180",$H$111:$H$121,"=Onshore",$D$111:$D$121,"=Saline"),0)</f>
        <v>60</v>
      </c>
      <c r="D144" s="144">
        <f>IFERROR(SUMIFS($I$111:$I$121,$J$111:$J$121,"&lt;=180",$H$111:$H$121,"=Onshore",$D$111:$D$121,"=Saline"),0)</f>
        <v>0.57500000000000007</v>
      </c>
      <c r="E144" s="144">
        <f>IFERROR(AVERAGEIFS($J$111:$J$121,$J$111:$J$121,"&lt;=180",$H$111:$H$121,"=Onshore",$D$111:$D$121,"=Carbon"),0)</f>
        <v>0</v>
      </c>
      <c r="F144" s="144">
        <f>IFERROR(SUMIFS($I$111:$I$121,$J$111:$J$121,"&lt;=180",$H$111:$H$121,"=Onshore",$D$111:$D$121,"=Carbon"),0)</f>
        <v>0</v>
      </c>
    </row>
    <row r="145" spans="1:13">
      <c r="A145" s="144" t="s">
        <v>337</v>
      </c>
      <c r="B145" s="144" t="s">
        <v>442</v>
      </c>
      <c r="C145" s="144">
        <f>IFERROR(AVERAGEIFS($J$111:$J$121,$J$111:$J$121,"&lt;=180",$H$111:$H$121,"=Offshore",$D$111:$D$121,"=Saline"),0)</f>
        <v>40</v>
      </c>
      <c r="D145" s="185">
        <f>IFERROR(SUMIFS($I$111:$I$121,$J$111:$J$121,"&lt;=180",$H$111:$H$121,"=Offshore",$D$111:$D$121,"=Saline"),0)</f>
        <v>0.2</v>
      </c>
      <c r="E145" s="144">
        <f>IFERROR(AVERAGEIFS($J$111:$J$121,$J$111:$J$121,"&lt;=180",$H$111:$H$121,"=Offshore",$D$111:$D$121,"=Carbon"),0)</f>
        <v>0</v>
      </c>
      <c r="F145" s="180">
        <f>IFERROR(SUMIFS($I$111:$I$121,$J$111:$J$121,"&lt;=180",$H$111:$H$121,"=Offshore",$D$111:$D$121,"=Carbon"),0)</f>
        <v>0</v>
      </c>
    </row>
    <row r="146" spans="1:13">
      <c r="A146" s="144" t="s">
        <v>336</v>
      </c>
      <c r="B146" s="144" t="s">
        <v>441</v>
      </c>
      <c r="C146" s="144">
        <f>IFERROR(AVERAGEIFS($J$111:$J$121,$J$111:$J$121,"&gt;180",$J$111:$J$121,"&lt;=500",$H$111:$H$121,"=Onshore",$D$111:$D$121,"=Saline"),0)</f>
        <v>333.33333333333331</v>
      </c>
      <c r="D146" s="144">
        <f>SUMIFS($I$111:$I$121,$J$111:$J$121,"&gt;180",$J$111:$J$121,"&lt;=500",$H$111:$H$121,"=Onshore",$D$111:$D$121,"=Saline")</f>
        <v>6.04</v>
      </c>
      <c r="E146" s="144">
        <f>IFERROR(AVERAGEIFS($J$111:$J$121,$J$111:$J$121,"&gt;180",$J$111:$J$121,"&lt;=500",$H$111:$H$121,"=Onshore",$D$111:$D$121,"=Carbon"),0)</f>
        <v>0</v>
      </c>
      <c r="F146" s="144">
        <f>SUMIFS($I$111:$I$121,$J$111:$J$121,"&gt;180",$J$111:$J$121,"&lt;=500",$H$111:$H$121,"=Onshore",$D$111:$D$121,"=Carbon")</f>
        <v>0</v>
      </c>
    </row>
    <row r="147" spans="1:13">
      <c r="A147" s="144" t="s">
        <v>337</v>
      </c>
      <c r="B147" s="144" t="s">
        <v>441</v>
      </c>
      <c r="C147" s="180">
        <f>IFERROR(AVERAGEIFS($J$111:$J$121,$J$111:$J$121,"&gt;180",$J$111:$J$121,"&lt;=500",$H$111:$H$121,"=Offshore",$D$111:$D$121,"=Saline"),0)</f>
        <v>423.33333333333331</v>
      </c>
      <c r="D147" s="144">
        <f>IFERROR(SUMIFS($I$111:$I$121,$J$111:$J$121,"&gt;180",$J$111:$J$121,"&lt;=500",$H$111:$H$121,"=Offshore",$D$111:$D$121,"=Saline"),0)</f>
        <v>1.2233333333333332</v>
      </c>
      <c r="E147" s="180">
        <f>IFERROR(AVERAGEIFS($J$111:$J$121,$J$111:$J$121,"&gt;180",$J$111:$J$121,"&lt;=500",$H$111:$H$121,"=Offshore",$D$111:$D$121,"=Carbon"),0)</f>
        <v>340</v>
      </c>
      <c r="F147" s="144">
        <f>IFERROR(SUMIFS($I$111:$I$121,$J$111:$J$121,"&gt;180",$J$111:$J$121,"&lt;=500",$H$111:$H$121,"=Offshore",$D$111:$D$121,"=Carbon"),0)</f>
        <v>1.1000000000000001</v>
      </c>
    </row>
    <row r="148" spans="1:13">
      <c r="A148" s="144" t="s">
        <v>336</v>
      </c>
      <c r="B148" s="144" t="s">
        <v>440</v>
      </c>
      <c r="C148" s="144">
        <f>IFERROR(AVERAGEIFS($J$111:$J$121,$J$111:$J$121,"&gt;500",$H$110:$H$120,"=Onshore",$D$111:$D$121,"=Saline"),0)</f>
        <v>0</v>
      </c>
      <c r="D148" s="144">
        <f>IFERROR(SUMIFS($I$111:$I$121,$J$111:$J$121,"&gt;500",$H$111:$H$121,"=Onshore",$D$111:$D$121,"=Saline"),0)</f>
        <v>0</v>
      </c>
      <c r="E148" s="144">
        <f>IFERROR(AVERAGEIFS($J$111:$J$121,$J$111:$J$121,"&gt;500",$H$110:$H$120,"=Onshore",$D$111:$D$121,"=Carbon"),0)</f>
        <v>0</v>
      </c>
      <c r="F148" s="144">
        <f>IFERROR(SUMIFS($I$111:$I$121,$J$111:$J$121,"&gt;500",$H$111:$H$121,"=Onshore",$D$111:$D$121,"=Carbon"),0)</f>
        <v>0</v>
      </c>
    </row>
    <row r="149" spans="1:13">
      <c r="A149" s="144" t="s">
        <v>337</v>
      </c>
      <c r="B149" s="144" t="s">
        <v>440</v>
      </c>
      <c r="C149" s="144">
        <f>IFERROR(AVERAGEIFS($J$111:$J$121,$J$111:$J$121,"&gt;500",$H$111:$H$121,"=Offshore",$D$111:$D$121,"=Saline"),0)</f>
        <v>880</v>
      </c>
      <c r="D149" s="144">
        <f>IFERROR(SUMIFS($I$111:$I$121,$J$111:$J$121,"&gt;500",$H$111:$H$121,"=Offshore",$D$111:$D$121,"=Saline"),0)</f>
        <v>6.9916666666666663</v>
      </c>
      <c r="E149" s="144">
        <f>IFERROR(AVERAGEIFS($J$111:$J$121,$J$111:$J$121,"&gt;500",$H$111:$H$121,"=Offshore",$D$111:$D$121,"=Carbon"),0)</f>
        <v>900</v>
      </c>
      <c r="F149" s="144">
        <f>IFERROR(SUMIFS($I$111:$I$121,$J$111:$J$121,"&gt;500",$H$111:$H$121,"=Offshore",$D$111:$D$121,"=Carbon"),0)</f>
        <v>1.5</v>
      </c>
    </row>
    <row r="153" spans="1:13">
      <c r="A153" s="144" t="s">
        <v>466</v>
      </c>
      <c r="B153" s="144" t="s">
        <v>502</v>
      </c>
      <c r="J153" s="144" t="s">
        <v>464</v>
      </c>
    </row>
    <row r="154" spans="1:13">
      <c r="B154" s="144" t="s">
        <v>463</v>
      </c>
      <c r="C154" s="144" t="s">
        <v>113</v>
      </c>
      <c r="D154" s="144" t="s">
        <v>462</v>
      </c>
      <c r="E154" s="144" t="s">
        <v>461</v>
      </c>
      <c r="F154" s="144" t="s">
        <v>460</v>
      </c>
      <c r="G154" s="144" t="s">
        <v>436</v>
      </c>
      <c r="H154" s="144" t="s">
        <v>459</v>
      </c>
      <c r="I154" s="144" t="s">
        <v>458</v>
      </c>
      <c r="J154" s="144" t="s">
        <v>457</v>
      </c>
      <c r="L154" s="144" t="s">
        <v>455</v>
      </c>
      <c r="M154" s="144" t="s">
        <v>454</v>
      </c>
    </row>
    <row r="155" spans="1:13">
      <c r="B155" s="144" t="s">
        <v>501</v>
      </c>
      <c r="C155" s="144" t="s">
        <v>500</v>
      </c>
      <c r="D155" s="144" t="s">
        <v>448</v>
      </c>
      <c r="E155" s="144" t="s">
        <v>499</v>
      </c>
      <c r="F155" s="144">
        <v>1</v>
      </c>
      <c r="G155" s="144" t="s">
        <v>480</v>
      </c>
      <c r="H155" s="182" t="s">
        <v>337</v>
      </c>
      <c r="I155" s="144">
        <f>I100</f>
        <v>0.6166666666666667</v>
      </c>
      <c r="J155" s="184">
        <v>180</v>
      </c>
      <c r="L155" s="144" t="s">
        <v>450</v>
      </c>
      <c r="M155" s="144" t="s">
        <v>498</v>
      </c>
    </row>
    <row r="156" spans="1:13">
      <c r="D156" s="144" t="s">
        <v>448</v>
      </c>
      <c r="E156" s="144" t="s">
        <v>497</v>
      </c>
      <c r="F156" s="144">
        <v>2</v>
      </c>
      <c r="G156" s="144" t="s">
        <v>417</v>
      </c>
      <c r="H156" s="182" t="s">
        <v>337</v>
      </c>
      <c r="I156" s="144">
        <f>I101</f>
        <v>0.46666666666666662</v>
      </c>
      <c r="J156" s="183">
        <v>250</v>
      </c>
      <c r="L156" s="144" t="s">
        <v>450</v>
      </c>
      <c r="M156" s="144" t="s">
        <v>471</v>
      </c>
    </row>
    <row r="157" spans="1:13">
      <c r="D157" s="144" t="s">
        <v>448</v>
      </c>
      <c r="E157" s="144" t="s">
        <v>496</v>
      </c>
      <c r="F157" s="144">
        <v>3</v>
      </c>
      <c r="G157" s="144" t="s">
        <v>416</v>
      </c>
      <c r="H157" s="182" t="s">
        <v>337</v>
      </c>
      <c r="I157" s="144">
        <f>I108</f>
        <v>6.9916666666666663</v>
      </c>
      <c r="J157" s="181">
        <v>560</v>
      </c>
      <c r="L157" s="144" t="s">
        <v>450</v>
      </c>
    </row>
    <row r="158" spans="1:13">
      <c r="D158" s="144" t="s">
        <v>476</v>
      </c>
      <c r="E158" s="144" t="s">
        <v>495</v>
      </c>
      <c r="F158" s="144" t="s">
        <v>494</v>
      </c>
      <c r="G158" s="144" t="s">
        <v>416</v>
      </c>
      <c r="H158" s="182" t="s">
        <v>337</v>
      </c>
      <c r="I158" s="144">
        <f>I109</f>
        <v>1.5</v>
      </c>
      <c r="J158" s="181">
        <v>580</v>
      </c>
      <c r="L158" s="144" t="s">
        <v>450</v>
      </c>
    </row>
    <row r="159" spans="1:13">
      <c r="D159" s="144" t="s">
        <v>476</v>
      </c>
      <c r="E159" s="144" t="s">
        <v>493</v>
      </c>
      <c r="F159" s="144" t="s">
        <v>492</v>
      </c>
      <c r="G159" s="144" t="s">
        <v>416</v>
      </c>
      <c r="H159" s="182" t="s">
        <v>337</v>
      </c>
      <c r="I159" s="144">
        <f>H87</f>
        <v>3</v>
      </c>
      <c r="J159" s="181">
        <v>1350</v>
      </c>
      <c r="L159" s="144" t="s">
        <v>450</v>
      </c>
    </row>
    <row r="160" spans="1:13">
      <c r="D160" s="144" t="s">
        <v>476</v>
      </c>
      <c r="E160" s="144" t="s">
        <v>491</v>
      </c>
      <c r="F160" s="144" t="s">
        <v>490</v>
      </c>
      <c r="G160" s="144" t="s">
        <v>416</v>
      </c>
      <c r="H160" s="182" t="s">
        <v>337</v>
      </c>
      <c r="I160" s="144">
        <f>I159</f>
        <v>3</v>
      </c>
      <c r="J160" s="181">
        <v>2000</v>
      </c>
      <c r="L160" s="144" t="s">
        <v>450</v>
      </c>
    </row>
    <row r="161" spans="1:13">
      <c r="D161" s="144" t="s">
        <v>448</v>
      </c>
      <c r="E161" s="144" t="s">
        <v>489</v>
      </c>
      <c r="F161" s="144">
        <v>5</v>
      </c>
      <c r="G161" s="144" t="s">
        <v>416</v>
      </c>
      <c r="H161" s="182" t="s">
        <v>337</v>
      </c>
      <c r="I161" s="144">
        <f>H89</f>
        <v>2.6666666666666665</v>
      </c>
      <c r="J161" s="181">
        <v>1350</v>
      </c>
      <c r="L161" s="144" t="s">
        <v>450</v>
      </c>
    </row>
    <row r="162" spans="1:13">
      <c r="D162" s="144" t="s">
        <v>448</v>
      </c>
      <c r="F162" s="144" t="s">
        <v>447</v>
      </c>
      <c r="J162" s="144" t="s">
        <v>483</v>
      </c>
    </row>
    <row r="163" spans="1:13">
      <c r="C163" s="144" t="s">
        <v>444</v>
      </c>
      <c r="D163" s="144" t="s">
        <v>443</v>
      </c>
      <c r="E163" s="144" t="s">
        <v>444</v>
      </c>
      <c r="F163" s="144" t="s">
        <v>443</v>
      </c>
    </row>
    <row r="164" spans="1:13">
      <c r="A164" s="144" t="s">
        <v>336</v>
      </c>
      <c r="B164" s="144" t="s">
        <v>442</v>
      </c>
      <c r="C164" s="144">
        <f>IFERROR(AVERAGEIFS($J$155:$J$161,$J$155:$J$161,"&lt;=180",$H$155:$H$161,"=Onshore",$D$155:$D$161,"=Saline"),0)</f>
        <v>0</v>
      </c>
      <c r="D164" s="144">
        <f>IFERROR(SUMIFS($I$155:$I$161,$J$155:$J$161,"&lt;=180",$H$155:$H$161,"=Onshore",$D$155:$D$161,"=Saline"),0)</f>
        <v>0</v>
      </c>
      <c r="E164" s="144">
        <f>IFERROR(AVERAGEIFS($J$155:$J$161,$J$155:$J$161,"&lt;=180",$H$155:$H$161,"=Onshore",$D$155:$D$161,"=Carbon"),0)</f>
        <v>0</v>
      </c>
      <c r="F164" s="144">
        <f>IFERROR(SUMIFS($I$155:$I$161,$J$155:$J$161,"&lt;=180",$H$155:$H$161,"=Onshore",$D$155:$D$161,"=Carbon"),0)</f>
        <v>0</v>
      </c>
    </row>
    <row r="165" spans="1:13">
      <c r="A165" s="144" t="s">
        <v>337</v>
      </c>
      <c r="B165" s="144" t="s">
        <v>442</v>
      </c>
      <c r="C165" s="144">
        <f>IFERROR(AVERAGEIFS($J$155:$J$161,$J$155:$J$161,"&lt;=180",$H$155:$H$161,"=Offshore",$D$155:$D$161,"=Saline"),0)</f>
        <v>180</v>
      </c>
      <c r="D165" s="144">
        <f>IFERROR(SUMIFS($I$155:$I$161,$J$155:$J$161,"&lt;=180",$H$155:$H$161,"=Offshore",$D$155:$D$161,"=Saline"),0)</f>
        <v>0.6166666666666667</v>
      </c>
      <c r="E165" s="144">
        <f>IFERROR(AVERAGEIFS($J$155:$J$161,$J$155:$J$161,"&lt;=180",$H$155:$H$161,"=Offshore",$D$155:$D$161,"=Carbon"),0)</f>
        <v>0</v>
      </c>
      <c r="F165" s="144">
        <f>IFERROR(SUMIFS($I$155:$I$161,$J$155:$J$161,"&lt;=180",$H$155:$H$161,"=Offshore",$D$155:$D$161,"=Carbon"),0)</f>
        <v>0</v>
      </c>
    </row>
    <row r="166" spans="1:13">
      <c r="A166" s="144" t="s">
        <v>336</v>
      </c>
      <c r="B166" s="144" t="s">
        <v>441</v>
      </c>
      <c r="C166" s="144">
        <f>IFERROR(AVERAGEIFS($J$155:$J$161,$J$155:$J$161,"&gt;180",$J$155:$J$161,"&lt;=500",$H$155:$H$161,"=Onshore",$D$155:$D$161,"=Saline"),0)</f>
        <v>0</v>
      </c>
      <c r="D166" s="144">
        <f>SUMIFS($I$155:$I$161,$J$155:$J$161,"&gt;180",$J$155:$J$161,"&lt;=500",$H$155:$H$161,"=Onshore",$D$155:$D$161,"=Saline")</f>
        <v>0</v>
      </c>
      <c r="E166" s="144">
        <f>IFERROR(AVERAGEIFS($J$155:$J$161,$J$155:$J$161,"&gt;180",$J$155:$J$161,"&lt;=500",$H$155:$H$161,"=Onshore",$D$155:$D$161,"=Carbon"),0)</f>
        <v>0</v>
      </c>
      <c r="F166" s="144">
        <f>SUMIFS($I$155:$I$161,$J$155:$J$161,"&gt;180",$J$155:$J$161,"&lt;=500",$H$155:$H$161,"=Onshore",$D$155:$D$161,"=Carbon")</f>
        <v>0</v>
      </c>
    </row>
    <row r="167" spans="1:13">
      <c r="A167" s="144" t="s">
        <v>337</v>
      </c>
      <c r="B167" s="144" t="s">
        <v>441</v>
      </c>
      <c r="C167" s="180">
        <f>IFERROR(AVERAGEIFS($J$155:$J$161,$J$155:$J$161,"&gt;180",$J$155:$J$161,"&lt;=500",$H$155:$H$161,"=Offshore",$D$155:$D$161,"=Saline"),0)</f>
        <v>250</v>
      </c>
      <c r="D167" s="144">
        <f>IFERROR(SUMIFS($I$155:$I$161,$J$155:$J$161,"&gt;180",$J$155:$J$161,"&lt;=500",$H$155:$H$161,"=Offshore",$D$155:$D$161,"=Saline"),0)</f>
        <v>0.46666666666666662</v>
      </c>
      <c r="E167" s="180">
        <f>IFERROR(AVERAGEIFS($J$155:$J$161,$J$155:$J$161,"&gt;180",$J$155:$J$161,"&lt;=500",$H$155:$H$161,"=Offshore",$D$155:$D$161,"=Carbon"),0)</f>
        <v>0</v>
      </c>
      <c r="F167" s="144">
        <f>IFERROR(SUMIFS($I$155:$I$161,$J$155:$J$161,"&gt;180",$J$155:$J$161,"&lt;=500",$H$155:$H$161,"=Offshore",$D$155:$D$161,"=Carbon"),0)</f>
        <v>0</v>
      </c>
    </row>
    <row r="168" spans="1:13">
      <c r="A168" s="144" t="s">
        <v>336</v>
      </c>
      <c r="B168" s="144" t="s">
        <v>440</v>
      </c>
      <c r="C168" s="144">
        <f>IFERROR(AVERAGEIFS($J$155:$J$161,$J$155:$J$161,"&gt;500",$H$155:$H$161,"=Onshore",$D$155:$D$161,"=Saline"),0)</f>
        <v>0</v>
      </c>
      <c r="D168" s="144">
        <f>IFERROR(SUMIFS($I$155:$I$161,$J$155:$J$161,"&gt;500",$H$155:$H$161,"=Onshore",$D$155:$D$161,"=Saline"),0)</f>
        <v>0</v>
      </c>
      <c r="E168" s="144">
        <f>IFERROR(AVERAGEIFS($J$155:$J$161,$J$155:$J$161,"&gt;500",$H$155:$H$161,"=Onshore",$D$155:$D$161,"=Carbon"),0)</f>
        <v>0</v>
      </c>
      <c r="F168" s="144">
        <f>IFERROR(SUMIFS($I$155:$I$161,$J$155:$J$161,"&gt;500",$H$155:$H$161,"=Onshore",$D$155:$D$161,"=Carbon"),0)</f>
        <v>0</v>
      </c>
    </row>
    <row r="169" spans="1:13">
      <c r="A169" s="144" t="s">
        <v>337</v>
      </c>
      <c r="B169" s="144" t="s">
        <v>440</v>
      </c>
      <c r="C169" s="144">
        <f>IFERROR(AVERAGEIFS($J$155:$J$161,$J$155:$J$161,"&gt;500",$H$155:$H$161,"=Offshore",$D$155:$D$161,"=Saline"),0)</f>
        <v>955</v>
      </c>
      <c r="D169" s="144">
        <f>IFERROR(SUMIFS($I$155:$I$161,$J$155:$J$161,"&gt;500",$H$155:$H$161,"=Offshore",$D$155:$D$161,"=Saline"),0)</f>
        <v>9.6583333333333332</v>
      </c>
      <c r="E169" s="144">
        <f>IFERROR(AVERAGEIFS($J$155:$J$161,$J$155:$J$161,"&gt;500",$H$155:$H$161,"=Offshore",$D$155:$D$161,"=Carbon"),0)</f>
        <v>1310</v>
      </c>
      <c r="F169" s="144">
        <f>IFERROR(SUMIFS($I$155:$I$161,$J$155:$J$161,"&gt;500",$H$155:$H$161,"=Offshore",$D$155:$D$161,"=Carbon"),0)</f>
        <v>7.5</v>
      </c>
    </row>
    <row r="172" spans="1:13">
      <c r="A172" s="144" t="s">
        <v>466</v>
      </c>
      <c r="B172" s="144" t="s">
        <v>486</v>
      </c>
      <c r="J172" s="144" t="s">
        <v>464</v>
      </c>
    </row>
    <row r="173" spans="1:13">
      <c r="B173" s="144" t="s">
        <v>463</v>
      </c>
      <c r="C173" s="144" t="s">
        <v>113</v>
      </c>
      <c r="D173" s="144" t="s">
        <v>462</v>
      </c>
      <c r="E173" s="144" t="s">
        <v>461</v>
      </c>
      <c r="F173" s="144" t="s">
        <v>460</v>
      </c>
      <c r="G173" s="144" t="s">
        <v>436</v>
      </c>
      <c r="H173" s="144" t="s">
        <v>459</v>
      </c>
      <c r="I173" s="144" t="s">
        <v>458</v>
      </c>
      <c r="J173" s="144" t="s">
        <v>457</v>
      </c>
      <c r="L173" s="144" t="s">
        <v>455</v>
      </c>
      <c r="M173" s="144" t="s">
        <v>454</v>
      </c>
    </row>
    <row r="174" spans="1:13">
      <c r="B174" s="144" t="s">
        <v>488</v>
      </c>
      <c r="C174" s="144" t="s">
        <v>487</v>
      </c>
      <c r="D174" s="144" t="s">
        <v>448</v>
      </c>
      <c r="E174" s="144" t="str">
        <f t="shared" ref="E174:F180" si="8">E155</f>
        <v>Gassum Aquifer</v>
      </c>
      <c r="F174" s="144">
        <f t="shared" si="8"/>
        <v>1</v>
      </c>
      <c r="G174" s="144" t="s">
        <v>480</v>
      </c>
      <c r="H174" s="144" t="s">
        <v>337</v>
      </c>
      <c r="I174" s="144">
        <f t="shared" ref="I174:I180" si="9">I155</f>
        <v>0.6166666666666667</v>
      </c>
      <c r="J174" s="144">
        <v>350</v>
      </c>
      <c r="L174" s="144" t="s">
        <v>450</v>
      </c>
      <c r="M174" s="144" t="s">
        <v>471</v>
      </c>
    </row>
    <row r="175" spans="1:13">
      <c r="D175" s="144" t="s">
        <v>448</v>
      </c>
      <c r="E175" s="144" t="str">
        <f t="shared" si="8"/>
        <v>Hanstholm structure</v>
      </c>
      <c r="F175" s="144">
        <f t="shared" si="8"/>
        <v>2</v>
      </c>
      <c r="G175" s="144" t="s">
        <v>417</v>
      </c>
      <c r="H175" s="144" t="s">
        <v>337</v>
      </c>
      <c r="I175" s="144">
        <f t="shared" si="9"/>
        <v>0.46666666666666662</v>
      </c>
      <c r="J175" s="144">
        <v>310</v>
      </c>
      <c r="L175" s="144" t="s">
        <v>450</v>
      </c>
    </row>
    <row r="176" spans="1:13">
      <c r="D176" s="144" t="s">
        <v>448</v>
      </c>
      <c r="E176" s="144" t="str">
        <f t="shared" si="8"/>
        <v>Norway South accumulated (Heimdal, Frigg, Krossfjord, Flensfjord, Johannes, Skade, Sognefjord, Statfjord)</v>
      </c>
      <c r="F176" s="144">
        <f t="shared" si="8"/>
        <v>3</v>
      </c>
      <c r="G176" s="144" t="s">
        <v>416</v>
      </c>
      <c r="H176" s="144" t="s">
        <v>337</v>
      </c>
      <c r="I176" s="144">
        <f t="shared" si="9"/>
        <v>6.9916666666666663</v>
      </c>
      <c r="J176" s="144">
        <v>150</v>
      </c>
      <c r="L176" s="144" t="s">
        <v>450</v>
      </c>
    </row>
    <row r="177" spans="1:13">
      <c r="D177" s="144" t="s">
        <v>476</v>
      </c>
      <c r="E177" s="144" t="str">
        <f t="shared" si="8"/>
        <v>Norway southern hydrocarbon fields</v>
      </c>
      <c r="F177" s="144" t="str">
        <f t="shared" si="8"/>
        <v>4a</v>
      </c>
      <c r="G177" s="144" t="s">
        <v>416</v>
      </c>
      <c r="H177" s="144" t="s">
        <v>337</v>
      </c>
      <c r="I177" s="144">
        <f t="shared" si="9"/>
        <v>1.5</v>
      </c>
      <c r="J177" s="144">
        <v>150</v>
      </c>
      <c r="L177" s="144" t="s">
        <v>450</v>
      </c>
    </row>
    <row r="178" spans="1:13">
      <c r="D178" s="144" t="s">
        <v>476</v>
      </c>
      <c r="E178" s="144" t="str">
        <f t="shared" si="8"/>
        <v>Norway middle hydrocarbon fields</v>
      </c>
      <c r="F178" s="144" t="str">
        <f t="shared" si="8"/>
        <v>4b</v>
      </c>
      <c r="G178" s="144" t="s">
        <v>416</v>
      </c>
      <c r="H178" s="144" t="s">
        <v>337</v>
      </c>
      <c r="I178" s="144">
        <f t="shared" si="9"/>
        <v>3</v>
      </c>
      <c r="J178" s="144">
        <v>720</v>
      </c>
      <c r="L178" s="144" t="s">
        <v>450</v>
      </c>
    </row>
    <row r="179" spans="1:13">
      <c r="D179" s="144" t="s">
        <v>476</v>
      </c>
      <c r="E179" s="144" t="str">
        <f t="shared" si="8"/>
        <v>Norway northern hydrocarbon fields</v>
      </c>
      <c r="F179" s="144" t="str">
        <f t="shared" si="8"/>
        <v>4c</v>
      </c>
      <c r="G179" s="144" t="s">
        <v>416</v>
      </c>
      <c r="H179" s="144" t="s">
        <v>337</v>
      </c>
      <c r="I179" s="144">
        <f t="shared" si="9"/>
        <v>3</v>
      </c>
      <c r="J179" s="144">
        <v>1500</v>
      </c>
      <c r="L179" s="144" t="s">
        <v>450</v>
      </c>
    </row>
    <row r="180" spans="1:13">
      <c r="D180" s="144" t="s">
        <v>448</v>
      </c>
      <c r="E180" s="144" t="str">
        <f t="shared" si="8"/>
        <v>Gran formation</v>
      </c>
      <c r="F180" s="144">
        <f t="shared" si="8"/>
        <v>5</v>
      </c>
      <c r="G180" s="144" t="s">
        <v>416</v>
      </c>
      <c r="H180" s="144" t="s">
        <v>337</v>
      </c>
      <c r="I180" s="144">
        <f t="shared" si="9"/>
        <v>2.6666666666666665</v>
      </c>
      <c r="J180" s="144">
        <f>J178</f>
        <v>720</v>
      </c>
      <c r="L180" s="144" t="s">
        <v>450</v>
      </c>
    </row>
    <row r="181" spans="1:13">
      <c r="D181" s="144" t="s">
        <v>448</v>
      </c>
      <c r="F181" s="144" t="s">
        <v>447</v>
      </c>
      <c r="J181" s="144" t="s">
        <v>483</v>
      </c>
    </row>
    <row r="182" spans="1:13">
      <c r="C182" s="144" t="s">
        <v>444</v>
      </c>
      <c r="D182" s="144" t="s">
        <v>443</v>
      </c>
      <c r="E182" s="144" t="s">
        <v>444</v>
      </c>
      <c r="F182" s="144" t="s">
        <v>443</v>
      </c>
    </row>
    <row r="183" spans="1:13">
      <c r="A183" s="144" t="s">
        <v>336</v>
      </c>
      <c r="B183" s="144" t="s">
        <v>442</v>
      </c>
      <c r="C183" s="144">
        <f>IFERROR(AVERAGEIFS($J$174:$J$180,$J$174:$J$180,"&lt;=180",$H$174:$H$180,"=Onshore",$D$174:$D$180,"=Saline"),0)</f>
        <v>0</v>
      </c>
      <c r="D183" s="144">
        <f>IFERROR(SUMIFS($I$174:$I$180,$J$174:$J$180,"&lt;=180",$H$174:$H$180,"=Onshore",$D$174:$D$180,"=Saline"),0)</f>
        <v>0</v>
      </c>
      <c r="E183" s="144">
        <f>IFERROR(AVERAGEIFS($J$174:$J$180,$J$174:$J$180,"&lt;=180",$H$174:$H$180,"=Onshore",$D$174:$D$180,"=Carbon"),0)</f>
        <v>0</v>
      </c>
      <c r="F183" s="144">
        <f>IFERROR(SUMIFS($I$174:$I$180,$J$174:$J$180,"&lt;=180",$H$174:$H$180,"=Onshore",$D$174:$D$180,"=Carbon"),0)</f>
        <v>0</v>
      </c>
    </row>
    <row r="184" spans="1:13">
      <c r="A184" s="144" t="s">
        <v>337</v>
      </c>
      <c r="B184" s="144" t="s">
        <v>442</v>
      </c>
      <c r="C184" s="144">
        <f>IFERROR(AVERAGEIFS($J$174:$J$180,$J$174:$J$180,"&lt;=180",$H$174:$H$180,"=Offshore",$D$174:$D$180,"=Saline"),0)</f>
        <v>150</v>
      </c>
      <c r="D184" s="144">
        <f>IFERROR(SUMIFS($I$174:$I$180,$J$174:$J$180,"&lt;=180",$H$174:$H$180,"=Offshore",$D$174:$D$180,"=Saline"),0)</f>
        <v>6.9916666666666663</v>
      </c>
      <c r="E184" s="144">
        <f>IFERROR(AVERAGEIFS($J$174:$J$180,$J$174:$J$180,"&lt;=180",$H$174:$H$180,"=Offshore",$D$174:$D$180,"=Carbon"),0)</f>
        <v>150</v>
      </c>
      <c r="F184" s="144">
        <f>IFERROR(SUMIFS($I$174:$I$180,$J$174:$J$180,"&lt;=180",$H$174:$H$180,"=Offshore",$D$174:$D$180,"=Carbon"),0)</f>
        <v>1.5</v>
      </c>
    </row>
    <row r="185" spans="1:13">
      <c r="A185" s="144" t="s">
        <v>336</v>
      </c>
      <c r="B185" s="144" t="s">
        <v>441</v>
      </c>
      <c r="C185" s="144">
        <f>IFERROR(AVERAGEIFS($J$174:$J$180,$J$174:$J$180,"&gt;180",$J$174:$J$180,"&lt;=500",$H$174:$H$180,"=Onshore",$D$174:$D$180,"=Saline"),0)</f>
        <v>0</v>
      </c>
      <c r="D185" s="144">
        <f>SUMIFS($I$174:$I$180,$J$174:$J$180,"&gt;180",$J$174:$J$180,"&lt;=500",$H$174:$H$180,"=Onshore",$D$174:$D$180,"=Saline")</f>
        <v>0</v>
      </c>
      <c r="E185" s="144">
        <f>IFERROR(AVERAGEIFS($J$174:$J$180,$J$174:$J$180,"&gt;180",$J$174:$J$180,"&lt;=500",$H$174:$H$180,"=Onshore",$D$174:$D$180,"=Carbon"),0)</f>
        <v>0</v>
      </c>
      <c r="F185" s="144">
        <f>SUMIFS($I$174:$I$180,$J$174:$J$180,"&gt;180",$J$174:$J$180,"&lt;=500",$H$174:$H$180,"=Onshore",$D$174:$D$180,"=Carbon")</f>
        <v>0</v>
      </c>
    </row>
    <row r="186" spans="1:13">
      <c r="A186" s="144" t="s">
        <v>337</v>
      </c>
      <c r="B186" s="144" t="s">
        <v>441</v>
      </c>
      <c r="C186" s="180">
        <f>IFERROR(AVERAGEIFS($J$174:$J$180,$J$174:$J$180,"&gt;180",$J$174:$J$180,"&lt;=500",$H$174:$H$180,"=Offshore",$D$174:$D$180,"=Saline"),0)</f>
        <v>330</v>
      </c>
      <c r="D186" s="144">
        <f>IFERROR(SUMIFS($I$174:$I$180,$J$174:$J$180,"&gt;180",$J$174:$J$180,"&lt;=500",$H$174:$H$180,"=Offshore",$D$174:$D$180,"=Saline"),0)</f>
        <v>1.0833333333333333</v>
      </c>
      <c r="E186" s="180">
        <f>IFERROR(AVERAGEIFS($J$174:$J$180,$J$174:$J$180,"&gt;180",$J$174:$J$180,"&lt;=500",$H$174:$H$180,"=Offshore",$D$174:$D$180,"=Carbon"),0)</f>
        <v>0</v>
      </c>
      <c r="F186" s="144">
        <f>IFERROR(SUMIFS($I$174:$I$180,$J$174:$J$180,"&gt;180",$J$174:$J$180,"&lt;=500",$H$174:$H$180,"=Offshore",$D$174:$D$180,"=Carbon"),0)</f>
        <v>0</v>
      </c>
    </row>
    <row r="187" spans="1:13">
      <c r="A187" s="144" t="s">
        <v>336</v>
      </c>
      <c r="B187" s="144" t="s">
        <v>440</v>
      </c>
      <c r="C187" s="144">
        <f>IFERROR(AVERAGEIFS($J$174:$J$180,$J$174:$J$180,"&gt;500",$H$174:$H$180,"=Onshore",$D$174:$D$180,"=Saline"),0)</f>
        <v>0</v>
      </c>
      <c r="D187" s="144">
        <f>IFERROR(SUMIFS($I$174:$I$180,$J$174:$J$180,"&gt;500",$H$174:$H$180,"=Onshore",$D$174:$D$180,"=Saline"),0)</f>
        <v>0</v>
      </c>
      <c r="E187" s="144">
        <f>IFERROR(AVERAGEIFS($J$174:$J$180,$J$174:$J$180,"&gt;500",$H$174:$H$180,"=Onshore",$D$174:$D$180,"=Carbon"),0)</f>
        <v>0</v>
      </c>
      <c r="F187" s="144">
        <f>IFERROR(SUMIFS($I$174:$I$180,$J$174:$J$180,"&gt;500",$H$174:$H$180,"=Onshore",$D$174:$D$180,"=Carbon"),0)</f>
        <v>0</v>
      </c>
    </row>
    <row r="188" spans="1:13">
      <c r="A188" s="144" t="s">
        <v>337</v>
      </c>
      <c r="B188" s="144" t="s">
        <v>440</v>
      </c>
      <c r="C188" s="144">
        <f>IFERROR(AVERAGEIFS($J$174:$J$180,$J$174:$J$180,"&gt;500",$H$174:$H$180,"=Offshore",$D$174:$D$180,"=Saline"),0)</f>
        <v>720</v>
      </c>
      <c r="D188" s="144">
        <f>IFERROR(SUMIFS($I$174:$I$180,$J$174:$J$180,"&gt;500",$H$174:$H$180,"=Offshore",$D$174:$D$180,"=Saline"),0)</f>
        <v>2.6666666666666665</v>
      </c>
      <c r="E188" s="144">
        <f>IFERROR(AVERAGEIFS($J$174:$J$180,$J$174:$J$180,"&gt;500",$H$174:$H$180,"=Offshore",$D$174:$D$180,"=Carbon"),0)</f>
        <v>1110</v>
      </c>
      <c r="F188" s="144">
        <f>IFERROR(SUMIFS($I$174:$I$180,$J$174:$J$180,"&gt;500",$H$174:$H$180,"=Offshore",$D$174:$D$180,"=Carbon"),0)</f>
        <v>6</v>
      </c>
    </row>
    <row r="190" spans="1:13">
      <c r="A190" s="144" t="s">
        <v>466</v>
      </c>
      <c r="B190" s="144" t="s">
        <v>486</v>
      </c>
      <c r="J190" s="144" t="s">
        <v>464</v>
      </c>
    </row>
    <row r="191" spans="1:13">
      <c r="B191" s="144" t="s">
        <v>463</v>
      </c>
      <c r="C191" s="144" t="s">
        <v>113</v>
      </c>
      <c r="D191" s="144" t="s">
        <v>462</v>
      </c>
      <c r="E191" s="144" t="s">
        <v>461</v>
      </c>
      <c r="F191" s="144" t="s">
        <v>460</v>
      </c>
      <c r="G191" s="144" t="s">
        <v>436</v>
      </c>
      <c r="H191" s="144" t="s">
        <v>459</v>
      </c>
      <c r="I191" s="144" t="s">
        <v>458</v>
      </c>
      <c r="J191" s="144" t="s">
        <v>457</v>
      </c>
      <c r="L191" s="144" t="s">
        <v>455</v>
      </c>
      <c r="M191" s="144" t="s">
        <v>454</v>
      </c>
    </row>
    <row r="192" spans="1:13">
      <c r="B192" s="144" t="s">
        <v>485</v>
      </c>
      <c r="C192" s="144" t="s">
        <v>484</v>
      </c>
      <c r="D192" s="144" t="s">
        <v>448</v>
      </c>
      <c r="E192" s="144" t="str">
        <f t="shared" ref="E192:F198" si="10">E174</f>
        <v>Gassum Aquifer</v>
      </c>
      <c r="F192" s="144">
        <f t="shared" si="10"/>
        <v>1</v>
      </c>
      <c r="G192" s="144" t="s">
        <v>480</v>
      </c>
      <c r="H192" s="144" t="s">
        <v>337</v>
      </c>
      <c r="I192" s="144">
        <f t="shared" ref="I192:I198" si="11">I174</f>
        <v>0.6166666666666667</v>
      </c>
      <c r="J192" s="144">
        <v>540</v>
      </c>
      <c r="L192" s="144" t="s">
        <v>450</v>
      </c>
      <c r="M192" s="144" t="s">
        <v>471</v>
      </c>
    </row>
    <row r="193" spans="1:12">
      <c r="D193" s="144" t="s">
        <v>448</v>
      </c>
      <c r="E193" s="144" t="str">
        <f t="shared" si="10"/>
        <v>Hanstholm structure</v>
      </c>
      <c r="F193" s="144">
        <f t="shared" si="10"/>
        <v>2</v>
      </c>
      <c r="G193" s="144" t="s">
        <v>417</v>
      </c>
      <c r="H193" s="144" t="s">
        <v>337</v>
      </c>
      <c r="I193" s="144">
        <f t="shared" si="11"/>
        <v>0.46666666666666662</v>
      </c>
      <c r="J193" s="144">
        <v>500</v>
      </c>
      <c r="L193" s="144" t="s">
        <v>450</v>
      </c>
    </row>
    <row r="194" spans="1:12">
      <c r="D194" s="144" t="s">
        <v>448</v>
      </c>
      <c r="E194" s="144" t="str">
        <f t="shared" si="10"/>
        <v>Norway South accumulated (Heimdal, Frigg, Krossfjord, Flensfjord, Johannes, Skade, Sognefjord, Statfjord)</v>
      </c>
      <c r="F194" s="144">
        <f t="shared" si="10"/>
        <v>3</v>
      </c>
      <c r="G194" s="144" t="s">
        <v>416</v>
      </c>
      <c r="H194" s="144" t="s">
        <v>337</v>
      </c>
      <c r="I194" s="144">
        <f t="shared" si="11"/>
        <v>6.9916666666666663</v>
      </c>
      <c r="J194" s="144">
        <v>180</v>
      </c>
      <c r="L194" s="144" t="s">
        <v>450</v>
      </c>
    </row>
    <row r="195" spans="1:12">
      <c r="D195" s="144" t="s">
        <v>476</v>
      </c>
      <c r="E195" s="144" t="str">
        <f t="shared" si="10"/>
        <v>Norway southern hydrocarbon fields</v>
      </c>
      <c r="F195" s="144" t="str">
        <f t="shared" si="10"/>
        <v>4a</v>
      </c>
      <c r="G195" s="144" t="s">
        <v>416</v>
      </c>
      <c r="H195" s="144" t="s">
        <v>337</v>
      </c>
      <c r="I195" s="144">
        <f t="shared" si="11"/>
        <v>1.5</v>
      </c>
      <c r="J195" s="144">
        <v>180</v>
      </c>
      <c r="L195" s="144" t="s">
        <v>450</v>
      </c>
    </row>
    <row r="196" spans="1:12">
      <c r="D196" s="144" t="s">
        <v>476</v>
      </c>
      <c r="E196" s="144" t="str">
        <f t="shared" si="10"/>
        <v>Norway middle hydrocarbon fields</v>
      </c>
      <c r="F196" s="144" t="str">
        <f t="shared" si="10"/>
        <v>4b</v>
      </c>
      <c r="G196" s="144" t="s">
        <v>416</v>
      </c>
      <c r="H196" s="144" t="s">
        <v>337</v>
      </c>
      <c r="I196" s="144">
        <f t="shared" si="11"/>
        <v>3</v>
      </c>
      <c r="J196" s="144">
        <v>600</v>
      </c>
      <c r="L196" s="144" t="s">
        <v>450</v>
      </c>
    </row>
    <row r="197" spans="1:12">
      <c r="D197" s="144" t="s">
        <v>476</v>
      </c>
      <c r="E197" s="144" t="str">
        <f t="shared" si="10"/>
        <v>Norway northern hydrocarbon fields</v>
      </c>
      <c r="F197" s="144" t="str">
        <f t="shared" si="10"/>
        <v>4c</v>
      </c>
      <c r="G197" s="144" t="s">
        <v>416</v>
      </c>
      <c r="H197" s="144" t="s">
        <v>337</v>
      </c>
      <c r="I197" s="144">
        <f t="shared" si="11"/>
        <v>3</v>
      </c>
      <c r="J197" s="144">
        <v>1250</v>
      </c>
      <c r="L197" s="144" t="s">
        <v>450</v>
      </c>
    </row>
    <row r="198" spans="1:12">
      <c r="D198" s="144" t="s">
        <v>448</v>
      </c>
      <c r="E198" s="144" t="str">
        <f t="shared" si="10"/>
        <v>Gran formation</v>
      </c>
      <c r="F198" s="144">
        <f t="shared" si="10"/>
        <v>5</v>
      </c>
      <c r="G198" s="144" t="s">
        <v>416</v>
      </c>
      <c r="H198" s="144" t="s">
        <v>337</v>
      </c>
      <c r="I198" s="144">
        <f t="shared" si="11"/>
        <v>2.6666666666666665</v>
      </c>
      <c r="J198" s="144">
        <f>J196</f>
        <v>600</v>
      </c>
      <c r="L198" s="144" t="s">
        <v>450</v>
      </c>
    </row>
    <row r="200" spans="1:12">
      <c r="D200" s="144" t="s">
        <v>448</v>
      </c>
      <c r="F200" s="144" t="s">
        <v>447</v>
      </c>
    </row>
    <row r="201" spans="1:12">
      <c r="C201" s="144" t="s">
        <v>444</v>
      </c>
      <c r="D201" s="144" t="s">
        <v>443</v>
      </c>
      <c r="E201" s="144" t="s">
        <v>444</v>
      </c>
      <c r="F201" s="144" t="s">
        <v>443</v>
      </c>
      <c r="J201" s="144" t="s">
        <v>483</v>
      </c>
    </row>
    <row r="202" spans="1:12">
      <c r="A202" s="144" t="s">
        <v>336</v>
      </c>
      <c r="B202" s="144" t="s">
        <v>442</v>
      </c>
      <c r="C202" s="144">
        <f>IFERROR(AVERAGEIFS($J$192:$J$198,$J$192:$J$198,"&lt;=180",$H$192:$H$198,"=Onshore",$D$192:$D$198,"=Saline"),0)</f>
        <v>0</v>
      </c>
      <c r="D202" s="144">
        <f>IFERROR(SUMIFS($I$192:$I$198,$J$192:$J$198,"&lt;=180",$H$192:$H$198,"=Onshore",$D$192:$D$198,"=Saline"),0)</f>
        <v>0</v>
      </c>
      <c r="E202" s="144">
        <f>IFERROR(AVERAGEIFS($J$192:$J$198,$J$192:$J$198,"&lt;=180",$H$192:$H$198,"=Onshore",$D$192:$D$198,"=Carbon"),0)</f>
        <v>0</v>
      </c>
      <c r="F202" s="144">
        <f>IFERROR(SUMIFS($I$192:$I$198,$J$192:$J$198,"&lt;=180",$H$192:$H$198,"=Onshore",$D$192:$D$198,"=Carbon"),0)</f>
        <v>0</v>
      </c>
    </row>
    <row r="203" spans="1:12">
      <c r="A203" s="144" t="s">
        <v>337</v>
      </c>
      <c r="B203" s="144" t="s">
        <v>442</v>
      </c>
      <c r="C203" s="144">
        <f>IFERROR(AVERAGEIFS($J$192:$J$198,$J$192:$J$198,"&lt;=180",$H$192:$H$198,"=Offshore",$D$192:$D$198,"=Saline"),0)</f>
        <v>180</v>
      </c>
      <c r="D203" s="144">
        <f>IFERROR(SUMIFS($I$192:$I$198,$J$192:$J$198,"&lt;=180",$H$192:$H$198,"=Offshore",$D$192:$D$198,"=Saline"),0)</f>
        <v>6.9916666666666663</v>
      </c>
      <c r="E203" s="144">
        <f>IFERROR(AVERAGEIFS($J$192:$J$198,$J$192:$J$198,"&lt;=180",$H$192:$H$198,"=Offshore",$D$192:$D$198,"=Carbon"),0)</f>
        <v>180</v>
      </c>
      <c r="F203" s="144">
        <f>IFERROR(SUMIFS($I$192:$I$198,$J$192:$J$198,"&lt;=180",$H$192:$H$198,"=Offshore",$D$192:$D$198,"=Carbon"),0)</f>
        <v>1.5</v>
      </c>
    </row>
    <row r="204" spans="1:12">
      <c r="A204" s="144" t="s">
        <v>336</v>
      </c>
      <c r="B204" s="144" t="s">
        <v>441</v>
      </c>
      <c r="C204" s="144">
        <f>IFERROR(AVERAGEIFS($J$192:$J$198,$J$192:$J$198,"&gt;180",$J$192:$J$198,"&lt;=500",$H$192:$H$198,"=Onshore",$D$192:$D$198,"=Saline"),0)</f>
        <v>0</v>
      </c>
      <c r="D204" s="144">
        <f>SUMIFS($I$192:$I$198,$J$192:$J$198,"&gt;180",$J$192:$J$198,"&lt;=500",$H$192:$H$198,"=Onshore",$D$192:$D$198,"=Saline")</f>
        <v>0</v>
      </c>
      <c r="E204" s="144">
        <f>IFERROR(AVERAGEIFS($J$192:$J$198,$J$192:$J$198,"&gt;180",$J$192:$J$198,"&lt;=500",$H$192:$H$198,"=Onshore",$D$192:$D$198,"=Carbon"),0)</f>
        <v>0</v>
      </c>
      <c r="F204" s="144">
        <f>SUMIFS($I$192:$I$198,$J$192:$J$198,"&gt;180",$J$192:$J$198,"&lt;=500",$H$192:$H$198,"=Onshore",$D$192:$D$198,"=Carbon")</f>
        <v>0</v>
      </c>
    </row>
    <row r="205" spans="1:12">
      <c r="A205" s="144" t="s">
        <v>337</v>
      </c>
      <c r="B205" s="144" t="s">
        <v>441</v>
      </c>
      <c r="C205" s="180">
        <f>IFERROR(AVERAGEIFS($J$192:$J$198,$J$192:$J$198,"&gt;180",$J$192:$J$198,"&lt;=500",$H$192:$H$198,"=Offshore",$D$192:$D$198,"=Saline"),0)</f>
        <v>500</v>
      </c>
      <c r="D205" s="144">
        <f>IFERROR(SUMIFS($I$192:$I$198,$J$192:$J$198,"&gt;180",$J$192:$J$198,"&lt;=500",$H$192:$H$198,"=Offshore",$D$192:$D$198,"=Saline"),0)</f>
        <v>0.46666666666666662</v>
      </c>
      <c r="E205" s="180">
        <f>IFERROR(AVERAGEIFS($J$192:$J$198,$J$192:$J$198,"&gt;180",$J$192:$J$198,"&lt;=500",$H$192:$H$198,"=Offshore",$D$192:$D$198,"=Carbon"),0)</f>
        <v>0</v>
      </c>
      <c r="F205" s="144">
        <f>IFERROR(SUMIFS($I$192:$I$198,$J$192:$J$198,"&gt;180",$J$192:$J$198,"&lt;=500",$H$192:$H$198,"=Offshore",$D$192:$D$198,"=Carbon"),0)</f>
        <v>0</v>
      </c>
    </row>
    <row r="206" spans="1:12">
      <c r="A206" s="144" t="s">
        <v>336</v>
      </c>
      <c r="B206" s="144" t="s">
        <v>440</v>
      </c>
      <c r="C206" s="144">
        <f>IFERROR(AVERAGEIFS($J$192:$J$198,$J$192:$J$198,"&gt;500",$H$192:$H$198,"=Onshore",$D$192:$D$198,"=Saline"),0)</f>
        <v>0</v>
      </c>
      <c r="D206" s="144">
        <f>IFERROR(SUMIFS($I$192:$I$198,$J$192:$J$198,"&gt;500",$H$192:$H$198,"=Onshore",$D$192:$D$198,"=Saline"),0)</f>
        <v>0</v>
      </c>
      <c r="E206" s="144">
        <f>IFERROR(AVERAGEIFS($J$192:$J$198,$J$192:$J$198,"&gt;500",$H$192:$H$198,"=Onshore",$D$192:$D$198,"=Carbon"),0)</f>
        <v>0</v>
      </c>
      <c r="F206" s="144">
        <f>IFERROR(SUMIFS($I$192:$I$198,$J$192:$J$198,"&gt;500",$H$192:$H$198,"=Onshore",$D$192:$D$198,"=Carbon"),0)</f>
        <v>0</v>
      </c>
    </row>
    <row r="207" spans="1:12">
      <c r="A207" s="144" t="s">
        <v>337</v>
      </c>
      <c r="B207" s="144" t="s">
        <v>440</v>
      </c>
      <c r="C207" s="144">
        <f>IFERROR(AVERAGEIFS($J$192:$J$198,$J$192:$J$198,"&gt;500",$H$192:$H$198,"=Offshore",$D$192:$D$198,"=Saline"),0)</f>
        <v>570</v>
      </c>
      <c r="D207" s="144">
        <f>IFERROR(SUMIFS($I$192:$I$198,$J$192:$J$198,"&gt;500",$H$192:$H$198,"=Offshore",$D$192:$D$198,"=Saline"),0)</f>
        <v>3.2833333333333332</v>
      </c>
      <c r="E207" s="144">
        <f>IFERROR(AVERAGEIFS($J$192:$J$198,$J$192:$J$198,"&gt;500",$H$192:$H$198,"=Offshore",$D$192:$D$198,"=Carbon"),0)</f>
        <v>925</v>
      </c>
      <c r="F207" s="144">
        <f>IFERROR(SUMIFS($I$192:$I$198,$J$192:$J$198,"&gt;500",$H$192:$H$198,"=Offshore",$D$192:$D$198,"=Carbon"),0)</f>
        <v>6</v>
      </c>
    </row>
    <row r="210" spans="1:13">
      <c r="A210" s="144" t="s">
        <v>466</v>
      </c>
      <c r="B210" s="144" t="s">
        <v>482</v>
      </c>
      <c r="J210" s="144" t="s">
        <v>464</v>
      </c>
    </row>
    <row r="211" spans="1:13">
      <c r="B211" s="144" t="s">
        <v>463</v>
      </c>
      <c r="C211" s="144" t="s">
        <v>113</v>
      </c>
      <c r="D211" s="144" t="s">
        <v>462</v>
      </c>
      <c r="E211" s="144" t="s">
        <v>461</v>
      </c>
      <c r="F211" s="144" t="s">
        <v>460</v>
      </c>
      <c r="G211" s="144" t="s">
        <v>436</v>
      </c>
      <c r="H211" s="144" t="s">
        <v>459</v>
      </c>
      <c r="I211" s="144" t="s">
        <v>458</v>
      </c>
      <c r="J211" s="144" t="s">
        <v>457</v>
      </c>
      <c r="K211" s="144" t="s">
        <v>456</v>
      </c>
      <c r="L211" s="144" t="s">
        <v>455</v>
      </c>
      <c r="M211" s="144" t="s">
        <v>454</v>
      </c>
    </row>
    <row r="212" spans="1:13">
      <c r="B212" s="144" t="s">
        <v>473</v>
      </c>
      <c r="C212" s="144" t="s">
        <v>481</v>
      </c>
      <c r="D212" s="144" t="s">
        <v>448</v>
      </c>
      <c r="E212" s="144" t="str">
        <f>E192</f>
        <v>Gassum Aquifer</v>
      </c>
      <c r="F212" s="144">
        <v>1</v>
      </c>
      <c r="G212" s="144" t="s">
        <v>480</v>
      </c>
      <c r="H212" s="144" t="s">
        <v>337</v>
      </c>
      <c r="I212" s="144">
        <f>I192</f>
        <v>0.6166666666666667</v>
      </c>
      <c r="J212" s="144">
        <v>165</v>
      </c>
      <c r="L212" s="144" t="s">
        <v>450</v>
      </c>
      <c r="M212" s="144" t="s">
        <v>470</v>
      </c>
    </row>
    <row r="213" spans="1:13">
      <c r="D213" s="144" t="s">
        <v>448</v>
      </c>
      <c r="E213" s="144" t="str">
        <f>E193</f>
        <v>Hanstholm structure</v>
      </c>
      <c r="F213" s="144">
        <v>2</v>
      </c>
      <c r="G213" s="144" t="s">
        <v>417</v>
      </c>
      <c r="H213" s="144" t="s">
        <v>337</v>
      </c>
      <c r="I213" s="144">
        <f>I193</f>
        <v>0.46666666666666662</v>
      </c>
      <c r="J213" s="144">
        <v>260</v>
      </c>
      <c r="L213" s="144" t="s">
        <v>450</v>
      </c>
    </row>
    <row r="214" spans="1:13">
      <c r="D214" s="144" t="s">
        <v>448</v>
      </c>
      <c r="E214" s="144" t="s">
        <v>479</v>
      </c>
      <c r="F214" s="144">
        <v>3</v>
      </c>
      <c r="G214" s="144" t="s">
        <v>419</v>
      </c>
      <c r="H214" s="144" t="s">
        <v>337</v>
      </c>
      <c r="I214" s="144">
        <f>I106</f>
        <v>0.2</v>
      </c>
      <c r="J214" s="144">
        <v>325</v>
      </c>
      <c r="L214" s="144" t="s">
        <v>450</v>
      </c>
    </row>
    <row r="215" spans="1:13">
      <c r="D215" s="144" t="s">
        <v>448</v>
      </c>
      <c r="E215" s="144" t="s">
        <v>424</v>
      </c>
      <c r="F215" s="144">
        <v>4</v>
      </c>
      <c r="G215" s="144" t="s">
        <v>419</v>
      </c>
      <c r="H215" s="144" t="s">
        <v>337</v>
      </c>
      <c r="I215" s="144">
        <f>I110</f>
        <v>0.13999999999999999</v>
      </c>
      <c r="J215" s="144">
        <v>500</v>
      </c>
      <c r="K215" s="144">
        <v>800</v>
      </c>
      <c r="L215" s="144" t="s">
        <v>450</v>
      </c>
      <c r="M215" s="144" t="s">
        <v>478</v>
      </c>
    </row>
    <row r="216" spans="1:13">
      <c r="D216" s="144" t="s">
        <v>448</v>
      </c>
      <c r="E216" s="144" t="s">
        <v>477</v>
      </c>
      <c r="F216" s="144">
        <v>5</v>
      </c>
      <c r="G216" s="144" t="s">
        <v>416</v>
      </c>
      <c r="H216" s="144" t="s">
        <v>337</v>
      </c>
      <c r="I216" s="144">
        <f>I176</f>
        <v>6.9916666666666663</v>
      </c>
      <c r="J216" s="144">
        <v>615</v>
      </c>
      <c r="L216" s="144" t="s">
        <v>450</v>
      </c>
      <c r="M216" s="144" t="s">
        <v>470</v>
      </c>
    </row>
    <row r="217" spans="1:13">
      <c r="D217" s="144" t="s">
        <v>476</v>
      </c>
      <c r="E217" s="144" t="s">
        <v>475</v>
      </c>
      <c r="F217" s="144">
        <v>6</v>
      </c>
      <c r="G217" s="144" t="s">
        <v>416</v>
      </c>
      <c r="H217" s="144" t="s">
        <v>337</v>
      </c>
      <c r="I217" s="144">
        <f>I177</f>
        <v>1.5</v>
      </c>
      <c r="J217" s="144">
        <v>615</v>
      </c>
      <c r="L217" s="144" t="s">
        <v>450</v>
      </c>
      <c r="M217" s="144" t="s">
        <v>474</v>
      </c>
    </row>
    <row r="218" spans="1:13">
      <c r="B218" s="144" t="s">
        <v>473</v>
      </c>
      <c r="C218" s="144" t="s">
        <v>472</v>
      </c>
      <c r="D218" s="144" t="s">
        <v>448</v>
      </c>
      <c r="E218" s="144" t="str">
        <f t="shared" ref="E218:I221" si="12">E212</f>
        <v>Gassum Aquifer</v>
      </c>
      <c r="F218" s="144">
        <f t="shared" si="12"/>
        <v>1</v>
      </c>
      <c r="G218" s="144" t="str">
        <f t="shared" si="12"/>
        <v>Denmark/Norway</v>
      </c>
      <c r="H218" s="144" t="str">
        <f t="shared" si="12"/>
        <v>Offshore</v>
      </c>
      <c r="I218" s="144">
        <f t="shared" si="12"/>
        <v>0.6166666666666667</v>
      </c>
      <c r="J218" s="144">
        <v>500</v>
      </c>
      <c r="K218" s="144">
        <v>1000</v>
      </c>
      <c r="L218" s="144" t="s">
        <v>450</v>
      </c>
      <c r="M218" s="144" t="s">
        <v>471</v>
      </c>
    </row>
    <row r="219" spans="1:13">
      <c r="D219" s="144" t="s">
        <v>448</v>
      </c>
      <c r="E219" s="144" t="str">
        <f t="shared" si="12"/>
        <v>Hanstholm structure</v>
      </c>
      <c r="F219" s="144">
        <f t="shared" si="12"/>
        <v>2</v>
      </c>
      <c r="G219" s="144" t="str">
        <f t="shared" si="12"/>
        <v>Denmark</v>
      </c>
      <c r="H219" s="144" t="str">
        <f t="shared" si="12"/>
        <v>Offshore</v>
      </c>
      <c r="I219" s="144">
        <f t="shared" si="12"/>
        <v>0.46666666666666662</v>
      </c>
      <c r="J219" s="144">
        <v>560</v>
      </c>
      <c r="K219" s="144">
        <v>1100</v>
      </c>
      <c r="L219" s="144" t="s">
        <v>450</v>
      </c>
      <c r="M219" s="144" t="s">
        <v>471</v>
      </c>
    </row>
    <row r="220" spans="1:13">
      <c r="D220" s="144" t="s">
        <v>448</v>
      </c>
      <c r="E220" s="144" t="str">
        <f t="shared" si="12"/>
        <v>Anager Greensand + Höganäs - Rya storage unit</v>
      </c>
      <c r="F220" s="144">
        <f t="shared" si="12"/>
        <v>3</v>
      </c>
      <c r="G220" s="144" t="str">
        <f t="shared" si="12"/>
        <v>Sweden</v>
      </c>
      <c r="H220" s="144" t="str">
        <f t="shared" si="12"/>
        <v>Offshore</v>
      </c>
      <c r="I220" s="144">
        <f t="shared" si="12"/>
        <v>0.2</v>
      </c>
      <c r="J220" s="144">
        <v>550</v>
      </c>
      <c r="L220" s="144" t="s">
        <v>450</v>
      </c>
      <c r="M220" s="144" t="s">
        <v>471</v>
      </c>
    </row>
    <row r="221" spans="1:13">
      <c r="D221" s="144" t="s">
        <v>448</v>
      </c>
      <c r="E221" s="144" t="str">
        <f t="shared" si="12"/>
        <v>Faludden</v>
      </c>
      <c r="F221" s="144">
        <f t="shared" si="12"/>
        <v>4</v>
      </c>
      <c r="G221" s="144" t="str">
        <f t="shared" si="12"/>
        <v>Sweden</v>
      </c>
      <c r="H221" s="144" t="str">
        <f t="shared" si="12"/>
        <v>Offshore</v>
      </c>
      <c r="I221" s="144">
        <f t="shared" si="12"/>
        <v>0.13999999999999999</v>
      </c>
      <c r="J221" s="144">
        <v>280</v>
      </c>
      <c r="L221" s="144" t="s">
        <v>450</v>
      </c>
      <c r="M221" s="144" t="s">
        <v>470</v>
      </c>
    </row>
    <row r="222" spans="1:13">
      <c r="D222" s="144" t="s">
        <v>448</v>
      </c>
      <c r="F222" s="144" t="s">
        <v>447</v>
      </c>
    </row>
    <row r="223" spans="1:13">
      <c r="A223" s="144" t="s">
        <v>469</v>
      </c>
      <c r="C223" s="144" t="s">
        <v>444</v>
      </c>
      <c r="D223" s="144" t="s">
        <v>443</v>
      </c>
      <c r="E223" s="144" t="s">
        <v>444</v>
      </c>
      <c r="F223" s="144" t="s">
        <v>443</v>
      </c>
      <c r="H223" s="144" t="s">
        <v>468</v>
      </c>
      <c r="I223" s="144" t="s">
        <v>448</v>
      </c>
      <c r="K223" s="144" t="s">
        <v>447</v>
      </c>
    </row>
    <row r="224" spans="1:13">
      <c r="A224" s="144" t="s">
        <v>336</v>
      </c>
      <c r="B224" s="144" t="s">
        <v>442</v>
      </c>
      <c r="C224" s="144">
        <f>IFERROR(AVERAGEIFS($J$212:$J$217,$J$212:$J$217,"&lt;=180",$H$212:$H$217,"=Onshore",$D$212:$D$217,"=Saline"),0)</f>
        <v>0</v>
      </c>
      <c r="D224" s="144">
        <f>IFERROR(SUMIFS($I$212:$I$217,$J$212:$J$217,"&lt;=180",$H$212:$H$217,"=Onshore",$D$212:$D$217,"=Saline"),0)</f>
        <v>0</v>
      </c>
      <c r="E224" s="144">
        <f>IFERROR(AVERAGEIFS($J$212:$J$217,$J$212:$J$217,"&lt;=180",$H$212:$H$217,"=Onshore",$D$212:$D$217,"=Carbon"),0)</f>
        <v>0</v>
      </c>
      <c r="F224" s="144">
        <f>IFERROR(SUMIFS($I$212:$I$217,$J$212:$J$217,"&lt;=180",$H$212:$H$217,"=Onshore",$D$212:$D$217,"=Carbon"),0)</f>
        <v>0</v>
      </c>
      <c r="H224" s="144" t="s">
        <v>444</v>
      </c>
      <c r="I224" s="144" t="s">
        <v>443</v>
      </c>
      <c r="J224" s="144" t="s">
        <v>444</v>
      </c>
      <c r="K224" s="144" t="s">
        <v>443</v>
      </c>
    </row>
    <row r="225" spans="1:11">
      <c r="A225" s="144" t="s">
        <v>337</v>
      </c>
      <c r="B225" s="144" t="s">
        <v>442</v>
      </c>
      <c r="C225" s="144">
        <f>IFERROR(AVERAGEIFS($J$212:$J$217,$J$212:$J$217,"&lt;=180",$H$212:$H$217,"=Offshore",$D$212:$D$217,"=Saline"),0)</f>
        <v>165</v>
      </c>
      <c r="D225" s="144">
        <f>IFERROR(SUMIFS($I$212:$I$217,$J$212:$J$217,"&lt;=180",$H$212:$H$217,"=Offshore",$D$212:$D$217,"=Saline"),0)</f>
        <v>0.6166666666666667</v>
      </c>
      <c r="E225" s="144">
        <f>IFERROR(AVERAGEIFS($J$212:$J$217,$J$212:$J$217,"&lt;=180",$H$212:$H$217,"=Offshore",$D$212:$D$217,"=Carbon"),0)</f>
        <v>0</v>
      </c>
      <c r="F225" s="144">
        <f>IFERROR(SUMIFS($I$212:$I$217,$J$212:$J$217,"&lt;=180",$H$212:$H$217,"=Offshore",$D$212:$D$217,"=Carbon"),0)</f>
        <v>0</v>
      </c>
      <c r="H225" s="144">
        <f>IF(AND($C$224&gt;0,$C$232&gt;0),AVERAGE($C$224,$C$232),IF($C$224&gt;0,$C$224,IF($C$232&gt;0,$C$232,0)))</f>
        <v>0</v>
      </c>
      <c r="I225" s="144">
        <f>SUM(D224,D232)</f>
        <v>0</v>
      </c>
      <c r="J225" s="144">
        <f>IF(AND($E$224&gt;0,$E$232&gt;0),AVERAGE($E$224,$E$232),IF($E$224&gt;0,$E$224,IF($E$232&gt;0,$E$232,0)))</f>
        <v>0</v>
      </c>
      <c r="K225" s="144">
        <f>IF(AND($F$224&gt;0,$F$232&gt;0),MAX($F$224,$F$232),IF($F$224&gt;0,$F$224,IF($F$232&gt;0,$F$232,0)))</f>
        <v>0</v>
      </c>
    </row>
    <row r="226" spans="1:11">
      <c r="A226" s="144" t="s">
        <v>336</v>
      </c>
      <c r="B226" s="144" t="s">
        <v>441</v>
      </c>
      <c r="C226" s="144">
        <f>IFERROR(AVERAGEIFS($J$212:$J$217,$J$212:$J$217,"&gt;180",$J$212:$J$217,"&lt;=500",$H$212:$H$217,"=Onshore",$D$212:$D$217,"=Saline"),0)</f>
        <v>0</v>
      </c>
      <c r="D226" s="144">
        <f>SUMIFS($I$212:$I$217,$J$212:$J$217,"&gt;180",$J$212:$J$217,"&lt;=500",$H$212:$H$217,"=Onshore",$D$212:$D$217,"=Saline")</f>
        <v>0</v>
      </c>
      <c r="E226" s="144">
        <f>IFERROR(AVERAGEIFS($J$212:$J$217,$J$212:$J$217,"&gt;180",$J$212:$J$217,"&lt;=500",$H$212:$H$217,"=Onshore",$D$212:$D$217,"=Carbon"),0)</f>
        <v>0</v>
      </c>
      <c r="F226" s="144">
        <f>SUMIFS($I$212:$I$217,$J$212:$J$217,"&gt;180",$J$212:$J$217,"&lt;=500",$H$212:$H$217,"=Onshore",$D$212:$D$217,"=Carbon")</f>
        <v>0</v>
      </c>
      <c r="H226" s="144">
        <f>IF(AND($C$225&gt;0,$C$233&gt;0),AVERAGE($C$225,$C$233),IF($C$225&gt;0,$C$225,IF($C$233&gt;0,$C$233,0)))</f>
        <v>165</v>
      </c>
      <c r="I226" s="144">
        <f>IF(AND($D$225&gt;0,$D$233&gt;0),MAX($D$225,$D$233),IF($D$225&gt;0,$D$225,IF($D$233&gt;0,$D$233,0)))</f>
        <v>0.6166666666666667</v>
      </c>
      <c r="J226" s="144">
        <f>IF(AND(E225&gt;0,E233&gt;0),AVERAGE(E225,E233),IF(E225&gt;0,E225,IF(E233&gt;0,E233,0)))</f>
        <v>0</v>
      </c>
      <c r="K226" s="144">
        <f>IF(AND($F$225&gt;0,$F$233&gt;0),MAX($F$225,$F$233),IF($F$225&gt;0,$F$225,IF($F$233&gt;0,$F$233,0)))</f>
        <v>0</v>
      </c>
    </row>
    <row r="227" spans="1:11">
      <c r="A227" s="144" t="s">
        <v>337</v>
      </c>
      <c r="B227" s="144" t="s">
        <v>441</v>
      </c>
      <c r="C227" s="180">
        <f>IFERROR(AVERAGEIFS($J$212:$J$217,$J$212:$J$217,"&gt;180",$J$212:$J$217,"&lt;=500",$H$212:$H$217,"=Offshore",$D$212:$D$217,"=Saline"),0)</f>
        <v>361.66666666666669</v>
      </c>
      <c r="D227" s="144">
        <f>IFERROR(SUMIFS($I$212:$I$217,$J$212:$J$217,"&gt;180",$J$212:$J$217,"&lt;=500",$H$212:$H$217,"=Offshore",$D$212:$D$217,"=Saline"),0)</f>
        <v>0.80666666666666664</v>
      </c>
      <c r="E227" s="180">
        <f>IFERROR(AVERAGEIFS($J$212:$J$217,$J$212:$J$217,"&gt;180",$J$212:$J$217,"&lt;=500",$H$212:$H$217,"=Offshore",$D$212:$D$217,"=Carbon"),0)</f>
        <v>0</v>
      </c>
      <c r="F227" s="144">
        <f>IFERROR(SUMIFS($I$212:$I$217,$J$212:$J$217,"&gt;180",$J$212:$J$217,"&lt;=500",$H$212:$H$217,"=Offshore",$D$212:$D$217,"=Carbon"),0)</f>
        <v>0</v>
      </c>
      <c r="H227" s="144">
        <f>IF(AND($C$226&gt;0,$C$234&gt;0),AVERAGE($C$226,$C$234),IF($C$226&gt;0,$C$226,IF($C$234&gt;0,$C$234,0)))</f>
        <v>0</v>
      </c>
      <c r="I227" s="144">
        <f>IF(AND($D$226&gt;0,$D$234&gt;0),MAX($D$226,$D$234),IF($D$226&gt;0,$D$226,IF($D$234&gt;0,$D$234,0)))</f>
        <v>0</v>
      </c>
      <c r="J227" s="144">
        <f>IF(AND(E226&gt;0,E234&gt;0),AVERAGE(E226,E234),IF(E226&gt;0,E226,IF(E234&gt;0,E234,0)))</f>
        <v>0</v>
      </c>
      <c r="K227" s="144">
        <f>IF(AND($F$226&gt;0,$F$234&gt;0),MAX($F$226,$F$234),IF($F$226&gt;0,$F$226,IF($F$234&gt;0,$F$234,0)))</f>
        <v>0</v>
      </c>
    </row>
    <row r="228" spans="1:11">
      <c r="A228" s="144" t="s">
        <v>336</v>
      </c>
      <c r="B228" s="144" t="s">
        <v>440</v>
      </c>
      <c r="C228" s="144">
        <f>IFERROR(AVERAGEIFS($J$212:$J$217,$J$212:$J$217,"&gt;500",$H$212:$H$217,"=Onshore",$D$212:$D$217,"=Saline"),0)</f>
        <v>0</v>
      </c>
      <c r="D228" s="144">
        <f>IFERROR(SUMIFS($I$212:$I$217,$J$212:$J$217,"&gt;500",$H$212:$H$217,"=Onshore",$D$212:$D$217,"=Saline"),0)</f>
        <v>0</v>
      </c>
      <c r="E228" s="144">
        <f>IFERROR(AVERAGEIFS($J$212:$J$217,$J$212:$J$217,"&gt;500",$H$212:$H$217,"=Onshore",$D$212:$D$217,"=Carbon"),0)</f>
        <v>0</v>
      </c>
      <c r="F228" s="144">
        <f>IFERROR(SUMIFS($I$212:$I$217,$J$212:$J$217,"&gt;500",$H$212:$H$217,"=Onshore",$D$212:$D$217,"=Carbon"),0)</f>
        <v>0</v>
      </c>
      <c r="H228" s="144">
        <f>IF(AND($C$227&gt;0,$C$235&gt;0),AVERAGE($C$227,$C$235),IF($C$227&gt;0,$C$227,IF($C$235&gt;0,$C$235,0)))</f>
        <v>375.83333333333337</v>
      </c>
      <c r="I228" s="144">
        <f>IF(AND($D$227&gt;0,$D$235&gt;0),MAX($D$227,$D$235),IF($D$227&gt;0,$D$227,IF($D$235&gt;0,$D$235,0)))</f>
        <v>0.80666666666666664</v>
      </c>
      <c r="J228" s="144">
        <f>IF(AND(E227&gt;0,E235&gt;0),AVERAGE(E227,E235),IF(E227&gt;0,E227,IF(E235&gt;0,E235,0)))</f>
        <v>0</v>
      </c>
      <c r="K228" s="144">
        <f>IF(AND($F$227&gt;0,$F$235&gt;0),MAX($F$227,$F$235),IF($F$227&gt;0,$F$227,IF($F$235&gt;0,$F$235,0)))</f>
        <v>0</v>
      </c>
    </row>
    <row r="229" spans="1:11">
      <c r="A229" s="144" t="s">
        <v>337</v>
      </c>
      <c r="B229" s="144" t="s">
        <v>440</v>
      </c>
      <c r="C229" s="144">
        <f>IFERROR(AVERAGEIFS($J$212:$J$217,$J$212:$J$217,"&gt;500",$H$212:$H$217,"=Offshore",$D$212:$D$217,"=Saline"),0)</f>
        <v>615</v>
      </c>
      <c r="D229" s="144">
        <f>IFERROR(SUMIFS($I$212:$I$217,$J$212:$J$217,"&gt;500",$H$212:$H$217,"=Offshore",$D$212:$D$217,"=Saline"),0)</f>
        <v>6.9916666666666663</v>
      </c>
      <c r="E229" s="144">
        <f>IFERROR(AVERAGEIFS($J$212:$J$217,$J$212:$J$217,"&gt;500",$H$212:$H$217,"=Offshore",$D$212:$D$217,"=Carbon"),0)</f>
        <v>615</v>
      </c>
      <c r="F229" s="144">
        <f>IFERROR(SUMIFS($I$212:$I$217,$J$212:$J$217,"&gt;500",$H$212:$H$217,"=Offshore",$D$212:$D$217,"=Carbon"),0)</f>
        <v>1.5</v>
      </c>
      <c r="H229" s="144">
        <f>IF(AND($C$228&gt;0,$C$236&gt;0),AVERAGE($C$228,$C$236),IF($C$228&gt;0,$C$228,IF($C$236&gt;0,$C$236,0)))</f>
        <v>0</v>
      </c>
      <c r="I229" s="144">
        <f>IF(AND($D$228&gt;0,$D$236&gt;0),MAX($D$228,$D$236),IF($D$228&gt;0,$D$228,IF($D$236&gt;0,$D$236,0)))</f>
        <v>0</v>
      </c>
      <c r="J229" s="144">
        <f>IF(AND($E$228&gt;0,$E$236&gt;0),AVERAGE($E$228,$E$236),IF($E$228&gt;0,$E$228,IF($E$236&gt;0,$E$236,0)))</f>
        <v>0</v>
      </c>
      <c r="K229" s="144">
        <f>IF(AND($F$228&gt;0,$F$236&gt;0),MAX($F$228,$F$236),IF($F$228&gt;0,$F$228,IF($F$236&gt;0,$F$236,0)))</f>
        <v>0</v>
      </c>
    </row>
    <row r="230" spans="1:11">
      <c r="H230" s="144">
        <f>IF(AND($C$229&gt;0,$C$237&gt;0),AVERAGE($C$229,$C$237),IF($C$229&gt;0,$C$229,IF($C$237&gt;0,$C$237,0)))</f>
        <v>585</v>
      </c>
      <c r="I230" s="144">
        <f>IF(AND($D$229&gt;0,$D$237&gt;0),MAX($D$229,$D$237),IF($D$229&gt;0,$D$229,IF($D$237&gt;0,$D$237,0)))</f>
        <v>6.9916666666666663</v>
      </c>
      <c r="J230" s="144">
        <f>IF(AND($E$229&gt;0,$E$237&gt;0),AVERAGE($E$229,$E$237),IF($E$229&gt;0,$E$229,IF($E$237&gt;0,$E$237,0)))</f>
        <v>615</v>
      </c>
      <c r="K230" s="144">
        <f>IF(AND($F$229&gt;0,$F$237&gt;0),MAX($F$229,$F$237),IF($F$229&gt;0,$F$229,IF($F$237&gt;0,$F$237,0)))</f>
        <v>1.5</v>
      </c>
    </row>
    <row r="231" spans="1:11">
      <c r="A231" s="144" t="s">
        <v>467</v>
      </c>
      <c r="C231" s="144" t="s">
        <v>444</v>
      </c>
      <c r="D231" s="144" t="s">
        <v>443</v>
      </c>
      <c r="E231" s="144" t="s">
        <v>444</v>
      </c>
      <c r="F231" s="144" t="s">
        <v>443</v>
      </c>
    </row>
    <row r="232" spans="1:11">
      <c r="A232" s="144" t="s">
        <v>336</v>
      </c>
      <c r="B232" s="144" t="s">
        <v>442</v>
      </c>
      <c r="C232" s="144">
        <f>IFERROR(AVERAGEIFS($J$218:$J$221,$J$218:$J$221,"&lt;=180",$H$218:$H$221,"=Onshore",$D$218:$D$221,"=Saline"),0)</f>
        <v>0</v>
      </c>
      <c r="D232" s="144">
        <f>IFERROR(SUMIFS($I$218:$I$221,$J$218:$J$221,"&lt;=180",$H$218:$H$221,"=Onshore",$D$218:$D$221,"=Saline"),0)</f>
        <v>0</v>
      </c>
      <c r="E232" s="144">
        <f>IFERROR(AVERAGEIFS($J$218:$J$221,$J$218:$J$221,"&lt;=180",$H$218:$H$221,"=Onshore",$D$218:$D$221,"=Carbon"),0)</f>
        <v>0</v>
      </c>
      <c r="F232" s="144">
        <f>IFERROR(SUMIFS($I$218:$I$221,$J$218:$J$221,"&lt;=180",$H$218:$H$221,"=Onshore",$D$218:$D$221,"=Carbon"),0)</f>
        <v>0</v>
      </c>
    </row>
    <row r="233" spans="1:11">
      <c r="A233" s="144" t="s">
        <v>337</v>
      </c>
      <c r="B233" s="144" t="s">
        <v>442</v>
      </c>
      <c r="C233" s="144">
        <f>IFERROR(AVERAGEIFS($J$218:$J$221,$J$218:$J$221,"&lt;=180",$H$218:$H$221,"=Offshore",$D$218:$D$221,"=Saline"),0)</f>
        <v>0</v>
      </c>
      <c r="D233" s="144">
        <f>IFERROR(SUMIFS($I$218:$I$221,$J$218:$J$221,"&lt;=180",$H$218:$H$221,"=Offshore",$D$218:$D$221,"=Saline"),0)</f>
        <v>0</v>
      </c>
      <c r="E233" s="144">
        <f>IFERROR(AVERAGEIFS($J$218:$J$221,$J$218:$J$221,"&lt;=180",$H$218:$H$221,"=Offshore",$D$218:$D$221,"=Carbon"),0)</f>
        <v>0</v>
      </c>
      <c r="F233" s="144">
        <f>IFERROR(SUMIFS($I$218:$I$221,$J$218:$J$221,"&lt;=180",$H$218:$H$221,"=Offshore",$D$218:$D$221,"=Carbon"),0)</f>
        <v>0</v>
      </c>
    </row>
    <row r="234" spans="1:11">
      <c r="A234" s="144" t="s">
        <v>336</v>
      </c>
      <c r="B234" s="144" t="s">
        <v>441</v>
      </c>
      <c r="C234" s="144">
        <f>IFERROR(AVERAGEIFS($J$218:$J$221,$J$218:$J$221,"&gt;180",$J$218:$J$221,"&lt;=500",$H$218:$H$221,"=Onshore",$D$218:$D$221,"=Saline"),0)</f>
        <v>0</v>
      </c>
      <c r="D234" s="144">
        <f>SUMIFS($I$218:$I$221,$J$218:$J$221,"&gt;180",$J$218:$J$221,"&lt;=500",$H$218:$H$221,"=Onshore",$D$218:$D$221,"=Saline")</f>
        <v>0</v>
      </c>
      <c r="E234" s="144">
        <f>IFERROR(AVERAGEIFS($J$218:$J$221,$J$218:$J$221,"&gt;180",$J$218:$J$221,"&lt;=500",$H$218:$H$221,"=Onshore",$D$218:$D$221,"=Carbon"),0)</f>
        <v>0</v>
      </c>
      <c r="F234" s="144">
        <f>SUMIFS($I$218:$I$221,$J$218:$J$221,"&gt;180",$J$218:$J$221,"&lt;=500",$H$218:$H$221,"=Onshore",$D$218:$D$221,"=Carbon")</f>
        <v>0</v>
      </c>
    </row>
    <row r="235" spans="1:11">
      <c r="A235" s="144" t="s">
        <v>337</v>
      </c>
      <c r="B235" s="144" t="s">
        <v>441</v>
      </c>
      <c r="C235" s="180">
        <f>IFERROR(AVERAGEIFS($J$218:$J$221,$J$218:$J$221,"&gt;180",$J$218:$J$221,"&lt;=500",$H$218:$H$221,"=Offshore",$D$218:$D$221,"=Saline"),0)</f>
        <v>390</v>
      </c>
      <c r="D235" s="144">
        <f>IFERROR(SUMIFS($I$218:$I$221,$J$218:$J$221,"&gt;180",$J$218:$J$221,"&lt;=500",$H$218:$H$221,"=Offshore",$D$218:$D$221,"=Saline"),0)</f>
        <v>0.75666666666666671</v>
      </c>
      <c r="E235" s="180">
        <f>IFERROR(AVERAGEIFS($J$218:$J$221,$J$218:$J$221,"&gt;180",$J$218:$J$221,"&lt;=500",$H$218:$H$221,"=Offshore",$D$218:$D$221,"=Carbon"),0)</f>
        <v>0</v>
      </c>
      <c r="F235" s="144">
        <f>IFERROR(SUMIFS($I$218:$I$221,$J$218:$J$221,"&gt;180",$J$218:$J$221,"&lt;=500",$H$218:$H$221,"=Offshore",$D$218:$D$221,"=Carbon"),0)</f>
        <v>0</v>
      </c>
    </row>
    <row r="236" spans="1:11">
      <c r="A236" s="144" t="s">
        <v>336</v>
      </c>
      <c r="B236" s="144" t="s">
        <v>440</v>
      </c>
      <c r="C236" s="144">
        <f>IFERROR(AVERAGEIFS($J$218:$J$221,$J$218:$J$221,"&gt;500",$H$218:$H$221,"=Onshore",$D$218:$D$221,"=Saline"),0)</f>
        <v>0</v>
      </c>
      <c r="D236" s="144">
        <f>IFERROR(SUMIFS($I$218:$I$221,$J$218:$J$221,"&gt;500",$H$218:$H$221,"=Onshore",$D$218:$D$221,"=Saline"),0)</f>
        <v>0</v>
      </c>
      <c r="E236" s="144">
        <f>IFERROR(AVERAGEIFS($J$218:$J$221,$J$218:$J$221,"&gt;500",$H$218:$H$221,"=Onshore",$D$218:$D$221,"=Carbon"),0)</f>
        <v>0</v>
      </c>
      <c r="F236" s="144">
        <f>IFERROR(SUMIFS($I$218:$I$221,$J$218:$J$221,"&gt;500",$H$218:$H$221,"=Onshore",$D$218:$D$221,"=Carbon"),0)</f>
        <v>0</v>
      </c>
    </row>
    <row r="237" spans="1:11">
      <c r="A237" s="144" t="s">
        <v>337</v>
      </c>
      <c r="B237" s="144" t="s">
        <v>440</v>
      </c>
      <c r="C237" s="144">
        <f>IFERROR(AVERAGEIFS($J$218:$J$221,$J$218:$J$221,"&gt;500",$H$218:$H$221,"=Offshore",$D$218:$D$221,"=Saline"),0)</f>
        <v>555</v>
      </c>
      <c r="D237" s="144">
        <f>IFERROR(SUMIFS($I$218:$I$221,$J$218:$J$221,"&gt;500",$H$218:$H$221,"=Offshore",$D$218:$D$221,"=Saline"),0)</f>
        <v>0.66666666666666663</v>
      </c>
      <c r="E237" s="144">
        <f>IFERROR(AVERAGEIFS($J$218:$J$221,$J$218:$J$221,"&gt;500",$H$218:$H$221,"=Offshore",$D$218:$D$221,"=Carbon"),0)</f>
        <v>0</v>
      </c>
      <c r="F237" s="144">
        <f>IFERROR(SUMIFS($I$218:$I$221,$J$218:$J$221,"&gt;500",$H$218:$H$221,"=Offshore",$D$218:$D$221,"=Carbon"),0)</f>
        <v>0</v>
      </c>
    </row>
    <row r="240" spans="1:11">
      <c r="A240" s="144" t="s">
        <v>466</v>
      </c>
      <c r="B240" s="144" t="s">
        <v>465</v>
      </c>
      <c r="J240" s="144" t="s">
        <v>464</v>
      </c>
    </row>
    <row r="241" spans="1:13">
      <c r="B241" s="144" t="s">
        <v>463</v>
      </c>
      <c r="C241" s="144" t="s">
        <v>113</v>
      </c>
      <c r="D241" s="144" t="s">
        <v>462</v>
      </c>
      <c r="E241" s="144" t="s">
        <v>461</v>
      </c>
      <c r="F241" s="144" t="s">
        <v>460</v>
      </c>
      <c r="G241" s="144" t="s">
        <v>436</v>
      </c>
      <c r="H241" s="144" t="s">
        <v>459</v>
      </c>
      <c r="I241" s="144" t="s">
        <v>458</v>
      </c>
      <c r="J241" s="144" t="s">
        <v>457</v>
      </c>
      <c r="K241" s="144" t="s">
        <v>456</v>
      </c>
      <c r="L241" s="144" t="s">
        <v>455</v>
      </c>
      <c r="M241" s="144" t="s">
        <v>454</v>
      </c>
    </row>
    <row r="242" spans="1:13">
      <c r="B242" s="144" t="s">
        <v>446</v>
      </c>
      <c r="C242" s="144" t="s">
        <v>453</v>
      </c>
      <c r="D242" s="144" t="s">
        <v>448</v>
      </c>
      <c r="E242" s="144" t="s">
        <v>424</v>
      </c>
      <c r="F242" s="144">
        <v>1</v>
      </c>
      <c r="G242" s="144" t="s">
        <v>419</v>
      </c>
      <c r="H242" s="144" t="s">
        <v>337</v>
      </c>
      <c r="I242" s="144">
        <f>I221</f>
        <v>0.13999999999999999</v>
      </c>
      <c r="J242" s="144">
        <v>730</v>
      </c>
      <c r="L242" s="144" t="s">
        <v>450</v>
      </c>
      <c r="M242" s="144" t="s">
        <v>451</v>
      </c>
    </row>
    <row r="243" spans="1:13">
      <c r="D243" s="144" t="s">
        <v>448</v>
      </c>
      <c r="E243" s="144" t="str">
        <f>E220</f>
        <v>Anager Greensand + Höganäs - Rya storage unit</v>
      </c>
      <c r="F243" s="144">
        <v>2</v>
      </c>
      <c r="G243" s="144" t="s">
        <v>419</v>
      </c>
      <c r="H243" s="144" t="s">
        <v>337</v>
      </c>
      <c r="I243" s="144">
        <f>I220</f>
        <v>0.2</v>
      </c>
      <c r="J243" s="144">
        <v>1100</v>
      </c>
      <c r="L243" s="144" t="s">
        <v>450</v>
      </c>
      <c r="M243" s="144" t="s">
        <v>449</v>
      </c>
    </row>
    <row r="244" spans="1:13">
      <c r="B244" s="144" t="s">
        <v>445</v>
      </c>
      <c r="C244" s="144" t="s">
        <v>452</v>
      </c>
      <c r="D244" s="144" t="s">
        <v>448</v>
      </c>
      <c r="E244" s="144" t="s">
        <v>424</v>
      </c>
      <c r="F244" s="144">
        <f>F242</f>
        <v>1</v>
      </c>
      <c r="G244" s="144" t="s">
        <v>419</v>
      </c>
      <c r="H244" s="144" t="s">
        <v>337</v>
      </c>
      <c r="I244" s="144">
        <f>I242</f>
        <v>0.13999999999999999</v>
      </c>
      <c r="J244" s="144">
        <v>1060</v>
      </c>
      <c r="L244" s="144" t="s">
        <v>450</v>
      </c>
      <c r="M244" s="144" t="s">
        <v>451</v>
      </c>
    </row>
    <row r="245" spans="1:13">
      <c r="D245" s="144" t="s">
        <v>448</v>
      </c>
      <c r="E245" s="144" t="str">
        <f>E243</f>
        <v>Anager Greensand + Höganäs - Rya storage unit</v>
      </c>
      <c r="F245" s="144">
        <f>F243</f>
        <v>2</v>
      </c>
      <c r="G245" s="144" t="s">
        <v>419</v>
      </c>
      <c r="H245" s="144" t="s">
        <v>337</v>
      </c>
      <c r="I245" s="144">
        <f>I243</f>
        <v>0.2</v>
      </c>
      <c r="J245" s="144">
        <v>1500</v>
      </c>
      <c r="L245" s="144" t="s">
        <v>450</v>
      </c>
      <c r="M245" s="144" t="s">
        <v>449</v>
      </c>
    </row>
    <row r="246" spans="1:13">
      <c r="D246" s="144" t="s">
        <v>448</v>
      </c>
      <c r="F246" s="144" t="s">
        <v>447</v>
      </c>
    </row>
    <row r="247" spans="1:13">
      <c r="A247" s="144" t="s">
        <v>446</v>
      </c>
      <c r="C247" s="144" t="s">
        <v>444</v>
      </c>
      <c r="D247" s="144" t="s">
        <v>443</v>
      </c>
      <c r="E247" s="144" t="s">
        <v>444</v>
      </c>
      <c r="F247" s="144" t="s">
        <v>443</v>
      </c>
    </row>
    <row r="248" spans="1:13">
      <c r="A248" s="144" t="s">
        <v>336</v>
      </c>
      <c r="B248" s="144" t="s">
        <v>442</v>
      </c>
      <c r="C248" s="144">
        <f>IFERROR(AVERAGEIFS($J$242:$J$243,$J$242:$J$243,"&lt;=180",$H$242:$H$243,"=Onshore",$D$242:$D$243,"=Saline"),0)</f>
        <v>0</v>
      </c>
      <c r="D248" s="144">
        <f>IFERROR(SUMIFS($I$242:$I$243,$J$242:$J$243,"&lt;=180",$H$242:$H$243,"=Onshore",$D$242:$D$243,"=Saline"),0)</f>
        <v>0</v>
      </c>
      <c r="E248" s="144">
        <f>IFERROR(AVERAGEIFS($J$242:$J$243,$J$242:$J$243,"&lt;=180",$H$242:$H$243,"=Onshore",$D$242:$D$243,"=Carbon"),0)</f>
        <v>0</v>
      </c>
      <c r="F248" s="144">
        <f>IFERROR(SUMIFS($I$242:$I$243,$J$242:$J$243,"&lt;=180",$H$242:$H$243,"=Onshore",$D$242:$D$243,"=Carbon"),0)</f>
        <v>0</v>
      </c>
    </row>
    <row r="249" spans="1:13">
      <c r="A249" s="144" t="s">
        <v>337</v>
      </c>
      <c r="B249" s="144" t="s">
        <v>442</v>
      </c>
      <c r="C249" s="144">
        <f>IFERROR(AVERAGEIFS($J$242:$J$243,$J$242:$J$243,"&lt;=180",$H$242:$H$243,"=Offshore",$D$242:$D$243,"=Saline"),0)</f>
        <v>0</v>
      </c>
      <c r="D249" s="144">
        <f>IFERROR(SUMIFS($I$242:$I$243,$J$242:$J$243,"&lt;=180",$H$242:$H$243,"=Offshore",$D$242:$D$243,"=Saline"),0)</f>
        <v>0</v>
      </c>
      <c r="E249" s="144">
        <f>IFERROR(AVERAGEIFS($J$242:$J$243,$J$242:$J$243,"&lt;=180",$H$242:$H$243,"=Offshore",$D$242:$D$243,"=Carbon"),0)</f>
        <v>0</v>
      </c>
      <c r="F249" s="144">
        <f>IFERROR(SUMIFS($I$242:$I$243,$J$242:$J$243,"&lt;=180",$H$242:$H$243,"=Offshore",$D$242:$D$243,"=Carbon"),0)</f>
        <v>0</v>
      </c>
    </row>
    <row r="250" spans="1:13">
      <c r="A250" s="144" t="s">
        <v>336</v>
      </c>
      <c r="B250" s="144" t="s">
        <v>441</v>
      </c>
      <c r="C250" s="144">
        <f>IFERROR(AVERAGEIFS($J$242:$J$243,$J$242:$J$243,"&gt;180",$J$242:$J$243,"&lt;=500",$H$242:$H$243,"=Onshore",$D$242:$D$243,"=Saline"),0)</f>
        <v>0</v>
      </c>
      <c r="D250" s="144">
        <f>SUMIFS($I$242:$I$243,$J$242:$J$243,"&gt;180",$J$242:$J$243,"&lt;=500",$H$242:$H$243,"=Onshore",$D$242:$D$243,"=Saline")</f>
        <v>0</v>
      </c>
      <c r="E250" s="144">
        <f>IFERROR(AVERAGEIFS($J$242:$J$243,$J$242:$J$243,"&gt;180",$J$242:$J$243,"&lt;=500",$H$242:$H$243,"=Onshore",$D$242:$D$243,"=Carbon"),0)</f>
        <v>0</v>
      </c>
      <c r="F250" s="144">
        <f>SUMIFS($I$242:$I$243,$J$242:$J$243,"&gt;180",$J$242:$J$243,"&lt;=500",$H$242:$H$243,"=Onshore",$D$242:$D$243,"=Carbon")</f>
        <v>0</v>
      </c>
    </row>
    <row r="251" spans="1:13">
      <c r="A251" s="144" t="s">
        <v>337</v>
      </c>
      <c r="B251" s="144" t="s">
        <v>441</v>
      </c>
      <c r="C251" s="180">
        <f>IFERROR(AVERAGEIFS($J$242:$J$243,$J$242:$J$243,"&gt;180",$J$242:$J$243,"&lt;=500",$H$242:$H$243,"=Offshore",$D$242:$D$243,"=Saline"),0)</f>
        <v>0</v>
      </c>
      <c r="D251" s="144">
        <f>IFERROR(SUMIFS($I$242:$I$243,$J$242:$J$243,"&gt;180",$J$242:$J$243,"&lt;=500",$H$242:$H$243,"=Offshore",$D$242:$D$243,"=Saline"),0)</f>
        <v>0</v>
      </c>
      <c r="E251" s="180">
        <f>IFERROR(AVERAGEIFS($J$242:$J$243,$J$242:$J$243,"&gt;180",$J$242:$J$243,"&lt;=500",$H$242:$H$243,"=Offshore",$D$242:$D$243,"=Carbon"),0)</f>
        <v>0</v>
      </c>
      <c r="F251" s="144">
        <f>IFERROR(SUMIFS($I$242:$I$243,$J$242:$J$243,"&gt;180",$J$242:$J$243,"&lt;=500",$H$242:$H$243,"=Offshore",$D$242:$D$243,"=Carbon"),0)</f>
        <v>0</v>
      </c>
    </row>
    <row r="252" spans="1:13">
      <c r="A252" s="144" t="s">
        <v>336</v>
      </c>
      <c r="B252" s="144" t="s">
        <v>440</v>
      </c>
      <c r="C252" s="144">
        <f>IFERROR(AVERAGEIFS($J$242:$J$243,$J$242:$J$243,"&gt;500",$H$242:$H$243,"=Onshore",$D$242:$D$243,"=Saline"),0)</f>
        <v>0</v>
      </c>
      <c r="D252" s="144">
        <f>IFERROR(SUMIFS($I$242:$I$243,$J$242:$J$243,"&gt;500",$H$242:$H$243,"=Onshore",$D$242:$D$243,"=Saline"),0)</f>
        <v>0</v>
      </c>
      <c r="E252" s="144">
        <f>IFERROR(AVERAGEIFS($J$242:$J$243,$J$242:$J$243,"&gt;500",$H$242:$H$243,"=Onshore",$D$242:$D$243,"=Carbon"),0)</f>
        <v>0</v>
      </c>
      <c r="F252" s="144">
        <f>IFERROR(SUMIFS($I$242:$I$243,$J$242:$J$243,"&gt;500",$H$242:$H$243,"=Onshore",$D$242:$D$243,"=Carbon"),0)</f>
        <v>0</v>
      </c>
    </row>
    <row r="253" spans="1:13">
      <c r="A253" s="144" t="s">
        <v>337</v>
      </c>
      <c r="B253" s="144" t="s">
        <v>440</v>
      </c>
      <c r="C253" s="144">
        <f>IFERROR(AVERAGEIFS($J$242:$J$243,$J$242:$J$243,"&gt;500",$H$242:$H$243,"=Offshore",$D$242:$D$243,"=Saline"),0)</f>
        <v>915</v>
      </c>
      <c r="D253" s="144">
        <f>IFERROR(SUMIFS($I$242:$I$243,$J$242:$J$243,"&gt;500",$H$242:$H$243,"=Offshore",$D$242:$D$243,"=Saline"),0)</f>
        <v>0.33999999999999997</v>
      </c>
      <c r="E253" s="144">
        <f>IFERROR(AVERAGEIFS($J$242:$J$243,$J$242:$J$243,"&gt;500",$H$242:$H$243,"=Offshore",$D$242:$D$243,"=Carbon"),0)</f>
        <v>0</v>
      </c>
      <c r="F253" s="144">
        <f>IFERROR(SUMIFS($I$242:$I$243,$J$242:$J$243,"&gt;500",$H$242:$H$243,"=Offshore",$D$242:$D$243,"=Carbon"),0)</f>
        <v>0</v>
      </c>
    </row>
    <row r="254" spans="1:13">
      <c r="A254" s="144" t="s">
        <v>445</v>
      </c>
      <c r="C254" s="144" t="s">
        <v>444</v>
      </c>
      <c r="D254" s="144" t="s">
        <v>443</v>
      </c>
      <c r="E254" s="144" t="s">
        <v>444</v>
      </c>
      <c r="F254" s="144" t="s">
        <v>443</v>
      </c>
    </row>
    <row r="255" spans="1:13">
      <c r="A255" s="144" t="s">
        <v>336</v>
      </c>
      <c r="B255" s="144" t="s">
        <v>442</v>
      </c>
      <c r="C255" s="144">
        <f>IFERROR(AVERAGEIFS($J$244:$J$245,$J$244:$J$245,"&lt;=180",$H$244:$H$245,"=Onshore",$D$244:$D$245,"=Saline"),0)</f>
        <v>0</v>
      </c>
      <c r="D255" s="144">
        <f>IFERROR(SUMIFS($I$244:$I$245,$J$244:$J$245,"&lt;=180",$H$244:$H$245,"=Onshore",$D$244:$D$245,"=Saline"),0)</f>
        <v>0</v>
      </c>
      <c r="E255" s="144">
        <f>IFERROR(AVERAGEIFS($J$244:$J$245,$J$244:$J$245,"&lt;=180",$H$244:$H$245,"=Onshore",$D$244:$D$245,"=Carbon"),0)</f>
        <v>0</v>
      </c>
      <c r="F255" s="144">
        <f>IFERROR(SUMIFS($I$244:$I$245,$J$244:$J$245,"&lt;=180",$H$244:$H$245,"=Onshore",$D$244:$D$245,"=Carbon"),0)</f>
        <v>0</v>
      </c>
    </row>
    <row r="256" spans="1:13">
      <c r="A256" s="144" t="s">
        <v>337</v>
      </c>
      <c r="B256" s="144" t="s">
        <v>442</v>
      </c>
      <c r="C256" s="144">
        <f>IFERROR(AVERAGEIFS($J$244:$J$245,$J$244:$J$245,"&lt;=180",$H$244:$H$245,"=Offshore",$D$244:$D$245,"=Saline"),0)</f>
        <v>0</v>
      </c>
      <c r="D256" s="144">
        <f>IFERROR(SUMIFS($I$244:$I$245,$J$244:$J$245,"&lt;=180",$H$244:$H$245,"=Offshore",$D$244:$D$245,"=Saline"),0)</f>
        <v>0</v>
      </c>
      <c r="E256" s="144">
        <f>IFERROR(AVERAGEIFS($J$244:$J$245,$J$244:$J$245,"&lt;=180",$H$244:$H$245,"=Offshore",$D$244:$D$245,"=Carbon"),0)</f>
        <v>0</v>
      </c>
      <c r="F256" s="144">
        <f>IFERROR(SUMIFS($I$244:$I$245,$J$244:$J$245,"&lt;=180",$H$244:$H$245,"=Offshore",$D$244:$D$245,"=Carbon"),0)</f>
        <v>0</v>
      </c>
    </row>
    <row r="257" spans="1:6">
      <c r="A257" s="144" t="s">
        <v>336</v>
      </c>
      <c r="B257" s="144" t="s">
        <v>441</v>
      </c>
      <c r="C257" s="144">
        <f>IFERROR(AVERAGEIFS($J$244:$J$245,$J$244:$J$245,"&gt;180",$J$244:$J$245,"&lt;=500",$H$244:$H$245,"=Onshore",$D$244:$D$245,"=Saline"),0)</f>
        <v>0</v>
      </c>
      <c r="D257" s="144">
        <f>SUMIFS($I$244:$I$245,$J$244:$J$245,"&gt;180",$J$244:$J$245,"&lt;=500",$H$244:$H$245,"=Onshore",$D$244:$D$245,"=Saline")</f>
        <v>0</v>
      </c>
      <c r="E257" s="144">
        <f>IFERROR(AVERAGEIFS($J$244:$J$245,$J$244:$J$245,"&gt;180",$J$244:$J$245,"&lt;=500",$H$244:$H$245,"=Onshore",$D$244:$D$245,"=Carbon"),0)</f>
        <v>0</v>
      </c>
      <c r="F257" s="144">
        <f>SUMIFS($I$244:$I$245,$J$244:$J$245,"&gt;180",$J$244:$J$245,"&lt;=500",$H$244:$H$245,"=Onshore",$D$244:$D$245,"=Carbon")</f>
        <v>0</v>
      </c>
    </row>
    <row r="258" spans="1:6">
      <c r="A258" s="144" t="s">
        <v>337</v>
      </c>
      <c r="B258" s="144" t="s">
        <v>441</v>
      </c>
      <c r="C258" s="180">
        <f>IFERROR(AVERAGEIFS($J$244:$J$245,$J$244:$J$245,"&gt;180",$J$244:$J$245,"&lt;=500",$H$244:$H$245,"=Offshore",$D$244:$D$245,"=Saline"),0)</f>
        <v>0</v>
      </c>
      <c r="D258" s="144">
        <f>IFERROR(SUMIFS($I$244:$I$245,$J$244:$J$245,"&gt;180",$J$244:$J$245,"&lt;=500",$H$244:$H$245,"=Offshore",$D$244:$D$245,"=Saline"),0)</f>
        <v>0</v>
      </c>
      <c r="E258" s="180">
        <f>IFERROR(AVERAGEIFS($J$244:$J$245,$J$244:$J$245,"&gt;180",$J$244:$J$245,"&lt;=500",$H$244:$H$245,"=Offshore",$D$244:$D$245,"=Carbon"),0)</f>
        <v>0</v>
      </c>
      <c r="F258" s="144">
        <f>IFERROR(SUMIFS($I$244:$I$245,$J$244:$J$245,"&gt;180",$J$244:$J$245,"&lt;=500",$H$244:$H$245,"=Offshore",$D$244:$D$245,"=Carbon"),0)</f>
        <v>0</v>
      </c>
    </row>
    <row r="259" spans="1:6">
      <c r="A259" s="144" t="s">
        <v>336</v>
      </c>
      <c r="B259" s="144" t="s">
        <v>440</v>
      </c>
      <c r="C259" s="144">
        <f>IFERROR(AVERAGEIFS($J$244:$J$245,$J$244:$J$245,"&gt;500",$H$244:$H$245,"=Onshore",$D$244:$D$245,"=Saline"),0)</f>
        <v>0</v>
      </c>
      <c r="D259" s="144">
        <f>IFERROR(SUMIFS($I$244:$I$245,$J$244:$J$245,"&gt;500",$H$244:$H$245,"=Onshore",$D$244:$D$245,"=Saline"),0)</f>
        <v>0</v>
      </c>
      <c r="E259" s="144">
        <f>IFERROR(AVERAGEIFS($J$244:$J$245,$J$244:$J$245,"&gt;500",$H$244:$H$245,"=Onshore",$D$244:$D$245,"=Carbon"),0)</f>
        <v>0</v>
      </c>
      <c r="F259" s="144">
        <f>IFERROR(SUMIFS($I$244:$I$245,$J$244:$J$245,"&gt;500",$H$244:$H$245,"=Onshore",$D$244:$D$245,"=Carbon"),0)</f>
        <v>0</v>
      </c>
    </row>
    <row r="260" spans="1:6">
      <c r="A260" s="144" t="s">
        <v>337</v>
      </c>
      <c r="B260" s="144" t="s">
        <v>440</v>
      </c>
      <c r="C260" s="144">
        <f>IFERROR(AVERAGEIFS($J$244:$J$245,$J$244:$J$245,"&gt;500",$H$244:$H$245,"=Offshore",$D$244:$D$245,"=Saline"),0)</f>
        <v>1280</v>
      </c>
      <c r="D260" s="144">
        <f>IFERROR(SUMIFS($I$242:$I$243,$J$242:$J$243,"&gt;500",$H$242:$H$243,"=Offshore",$D$244:$D$245,"=Saline"),0)</f>
        <v>0.33999999999999997</v>
      </c>
      <c r="E260" s="144">
        <f>IFERROR(AVERAGEIFS($J$244:$J$245,$J$244:$J$245,"&gt;500",$H$244:$H$245,"=Offshore",$D$244:$D$245,"=Carbon"),0)</f>
        <v>0</v>
      </c>
      <c r="F260" s="144">
        <f>IFERROR(SUMIFS($I$242:$I$243,$J$242:$J$243,"&gt;500",$H$242:$H$243,"=Offshore",$D$244:$D$245,"=Carbon"),0)</f>
        <v>0</v>
      </c>
    </row>
    <row r="264" spans="1:6">
      <c r="A264" s="144" t="s">
        <v>439</v>
      </c>
    </row>
    <row r="265" spans="1:6">
      <c r="A265" s="144" t="s">
        <v>438</v>
      </c>
      <c r="B265" s="144" t="s">
        <v>437</v>
      </c>
      <c r="C265" s="144" t="s">
        <v>436</v>
      </c>
      <c r="D265" s="144" t="s">
        <v>435</v>
      </c>
      <c r="E265" s="144" t="s">
        <v>434</v>
      </c>
      <c r="F265" s="144" t="s">
        <v>414</v>
      </c>
    </row>
    <row r="266" spans="1:6">
      <c r="A266" s="144" t="s">
        <v>421</v>
      </c>
      <c r="B266" s="144" t="s">
        <v>433</v>
      </c>
      <c r="C266" s="144" t="s">
        <v>416</v>
      </c>
      <c r="D266" s="144">
        <v>-17</v>
      </c>
      <c r="E266" s="144">
        <v>1.2</v>
      </c>
      <c r="F266" s="144">
        <f t="shared" ref="F266:F278" si="13">E266*1000</f>
        <v>1200</v>
      </c>
    </row>
    <row r="267" spans="1:6">
      <c r="A267" s="144" t="s">
        <v>421</v>
      </c>
      <c r="B267" s="144" t="s">
        <v>432</v>
      </c>
      <c r="C267" s="144" t="s">
        <v>416</v>
      </c>
      <c r="D267" s="144">
        <v>-22</v>
      </c>
      <c r="E267" s="144">
        <v>21.3</v>
      </c>
      <c r="F267" s="144">
        <f t="shared" si="13"/>
        <v>21300</v>
      </c>
    </row>
    <row r="268" spans="1:6">
      <c r="A268" s="144" t="s">
        <v>421</v>
      </c>
      <c r="B268" s="144" t="s">
        <v>431</v>
      </c>
      <c r="C268" s="144" t="s">
        <v>416</v>
      </c>
      <c r="D268" s="144">
        <v>-26</v>
      </c>
      <c r="E268" s="144">
        <v>0.8</v>
      </c>
      <c r="F268" s="144">
        <f t="shared" si="13"/>
        <v>800</v>
      </c>
    </row>
    <row r="269" spans="1:6">
      <c r="A269" s="144" t="s">
        <v>421</v>
      </c>
      <c r="B269" s="144" t="s">
        <v>430</v>
      </c>
      <c r="C269" s="144" t="s">
        <v>416</v>
      </c>
      <c r="D269" s="144">
        <v>-28</v>
      </c>
      <c r="E269" s="144">
        <v>11.5</v>
      </c>
      <c r="F269" s="144">
        <f t="shared" si="13"/>
        <v>11500</v>
      </c>
    </row>
    <row r="270" spans="1:6">
      <c r="A270" s="144" t="s">
        <v>421</v>
      </c>
      <c r="B270" s="144" t="s">
        <v>429</v>
      </c>
      <c r="C270" s="144" t="s">
        <v>416</v>
      </c>
      <c r="D270" s="144">
        <v>-43</v>
      </c>
      <c r="E270" s="144">
        <v>8</v>
      </c>
      <c r="F270" s="144">
        <f t="shared" si="13"/>
        <v>8000</v>
      </c>
    </row>
    <row r="271" spans="1:6">
      <c r="A271" s="144" t="s">
        <v>423</v>
      </c>
      <c r="B271" s="144" t="s">
        <v>428</v>
      </c>
      <c r="C271" s="144" t="s">
        <v>417</v>
      </c>
      <c r="D271" s="144">
        <v>-47</v>
      </c>
      <c r="E271" s="144">
        <v>0.9</v>
      </c>
      <c r="F271" s="144">
        <f t="shared" si="13"/>
        <v>900</v>
      </c>
    </row>
    <row r="272" spans="1:6">
      <c r="A272" s="144" t="s">
        <v>421</v>
      </c>
      <c r="B272" s="144" t="s">
        <v>427</v>
      </c>
      <c r="C272" s="144" t="s">
        <v>426</v>
      </c>
      <c r="D272" s="144">
        <v>-48</v>
      </c>
      <c r="E272" s="144">
        <v>3.7</v>
      </c>
      <c r="F272" s="144">
        <f t="shared" si="13"/>
        <v>3700</v>
      </c>
    </row>
    <row r="273" spans="1:6">
      <c r="A273" s="144" t="s">
        <v>423</v>
      </c>
      <c r="B273" s="144" t="s">
        <v>425</v>
      </c>
      <c r="C273" s="144" t="s">
        <v>417</v>
      </c>
      <c r="D273" s="144">
        <v>-49</v>
      </c>
      <c r="E273" s="144">
        <v>0.6</v>
      </c>
      <c r="F273" s="144">
        <f t="shared" si="13"/>
        <v>600</v>
      </c>
    </row>
    <row r="274" spans="1:6">
      <c r="A274" s="144" t="s">
        <v>423</v>
      </c>
      <c r="B274" s="144" t="s">
        <v>402</v>
      </c>
      <c r="C274" s="144" t="s">
        <v>417</v>
      </c>
      <c r="D274" s="144">
        <v>-57</v>
      </c>
      <c r="E274" s="144">
        <v>11</v>
      </c>
      <c r="F274" s="144">
        <f t="shared" si="13"/>
        <v>11000</v>
      </c>
    </row>
    <row r="275" spans="1:6">
      <c r="A275" s="144" t="s">
        <v>421</v>
      </c>
      <c r="B275" s="144" t="s">
        <v>424</v>
      </c>
      <c r="C275" s="144" t="s">
        <v>419</v>
      </c>
      <c r="D275" s="144">
        <v>-60</v>
      </c>
      <c r="E275" s="144">
        <v>0.7</v>
      </c>
      <c r="F275" s="144">
        <f t="shared" si="13"/>
        <v>700</v>
      </c>
    </row>
    <row r="276" spans="1:6">
      <c r="A276" s="144" t="s">
        <v>423</v>
      </c>
      <c r="B276" s="144" t="s">
        <v>413</v>
      </c>
      <c r="C276" s="144" t="s">
        <v>417</v>
      </c>
      <c r="D276" s="144">
        <v>-62</v>
      </c>
      <c r="E276" s="144">
        <v>2.8</v>
      </c>
      <c r="F276" s="144">
        <f t="shared" si="13"/>
        <v>2800</v>
      </c>
    </row>
    <row r="277" spans="1:6">
      <c r="A277" s="144" t="s">
        <v>421</v>
      </c>
      <c r="B277" s="144" t="s">
        <v>422</v>
      </c>
      <c r="C277" s="144" t="s">
        <v>419</v>
      </c>
      <c r="D277" s="144">
        <v>-64</v>
      </c>
      <c r="E277" s="144">
        <v>0.5</v>
      </c>
      <c r="F277" s="144">
        <f t="shared" si="13"/>
        <v>500</v>
      </c>
    </row>
    <row r="278" spans="1:6">
      <c r="A278" s="144" t="s">
        <v>421</v>
      </c>
      <c r="B278" s="144" t="s">
        <v>420</v>
      </c>
      <c r="C278" s="144" t="s">
        <v>419</v>
      </c>
      <c r="D278" s="144">
        <v>-76</v>
      </c>
      <c r="E278" s="144">
        <v>0.5</v>
      </c>
      <c r="F278" s="144">
        <f t="shared" si="13"/>
        <v>500</v>
      </c>
    </row>
    <row r="280" spans="1:6">
      <c r="A280" s="144" t="s">
        <v>418</v>
      </c>
    </row>
    <row r="281" spans="1:6">
      <c r="A281" s="144" t="s">
        <v>417</v>
      </c>
      <c r="B281" s="144" t="s">
        <v>415</v>
      </c>
      <c r="C281" s="144" t="s">
        <v>414</v>
      </c>
      <c r="D281" s="144" t="s">
        <v>416</v>
      </c>
      <c r="E281" s="144" t="s">
        <v>415</v>
      </c>
      <c r="F281" s="144" t="s">
        <v>414</v>
      </c>
    </row>
    <row r="282" spans="1:6">
      <c r="A282" s="144" t="s">
        <v>413</v>
      </c>
      <c r="B282" s="144">
        <v>2.8</v>
      </c>
      <c r="C282" s="144">
        <f t="shared" ref="C282:C292" si="14">B282*1000</f>
        <v>2800</v>
      </c>
      <c r="D282" s="144" t="s">
        <v>412</v>
      </c>
      <c r="E282" s="144">
        <v>15.8</v>
      </c>
      <c r="F282" s="144">
        <f t="shared" ref="F282:F291" si="15">E282*1000</f>
        <v>15800</v>
      </c>
    </row>
    <row r="283" spans="1:6">
      <c r="A283" s="144" t="s">
        <v>405</v>
      </c>
      <c r="B283" s="144">
        <v>0.6</v>
      </c>
      <c r="C283" s="144">
        <f t="shared" si="14"/>
        <v>600</v>
      </c>
      <c r="D283" s="144" t="s">
        <v>411</v>
      </c>
      <c r="E283" s="144">
        <f>13.6+2.6</f>
        <v>16.2</v>
      </c>
      <c r="F283" s="144">
        <f t="shared" si="15"/>
        <v>16200</v>
      </c>
    </row>
    <row r="284" spans="1:6">
      <c r="A284" s="144" t="s">
        <v>410</v>
      </c>
      <c r="B284" s="144">
        <v>0.9</v>
      </c>
      <c r="C284" s="144">
        <f t="shared" si="14"/>
        <v>900</v>
      </c>
      <c r="D284" s="144" t="s">
        <v>409</v>
      </c>
      <c r="E284" s="144">
        <v>4.0999999999999996</v>
      </c>
      <c r="F284" s="144">
        <f t="shared" si="15"/>
        <v>4100</v>
      </c>
    </row>
    <row r="285" spans="1:6">
      <c r="A285" s="144" t="s">
        <v>408</v>
      </c>
      <c r="B285" s="144">
        <v>0.09</v>
      </c>
      <c r="C285" s="144">
        <f t="shared" si="14"/>
        <v>90</v>
      </c>
      <c r="D285" s="144" t="s">
        <v>407</v>
      </c>
      <c r="E285" s="144">
        <v>3.6</v>
      </c>
      <c r="F285" s="144">
        <f t="shared" si="15"/>
        <v>3600</v>
      </c>
    </row>
    <row r="286" spans="1:6">
      <c r="A286" s="144" t="s">
        <v>406</v>
      </c>
      <c r="B286" s="144">
        <v>0.2</v>
      </c>
      <c r="C286" s="144">
        <f t="shared" si="14"/>
        <v>200</v>
      </c>
      <c r="D286" s="144" t="s">
        <v>405</v>
      </c>
      <c r="E286" s="144">
        <v>2.9</v>
      </c>
      <c r="F286" s="144">
        <f t="shared" si="15"/>
        <v>2900</v>
      </c>
    </row>
    <row r="287" spans="1:6">
      <c r="A287" s="144" t="s">
        <v>404</v>
      </c>
      <c r="B287" s="144">
        <v>0.05</v>
      </c>
      <c r="C287" s="144">
        <f t="shared" si="14"/>
        <v>50</v>
      </c>
      <c r="D287" s="144" t="s">
        <v>403</v>
      </c>
      <c r="E287" s="144">
        <v>1.8</v>
      </c>
      <c r="F287" s="144">
        <f t="shared" si="15"/>
        <v>1800</v>
      </c>
    </row>
    <row r="288" spans="1:6">
      <c r="A288" s="144" t="s">
        <v>402</v>
      </c>
      <c r="B288" s="144">
        <v>11</v>
      </c>
      <c r="C288" s="144">
        <f t="shared" si="14"/>
        <v>11000</v>
      </c>
      <c r="D288" s="144" t="s">
        <v>401</v>
      </c>
      <c r="E288" s="144">
        <v>1</v>
      </c>
      <c r="F288" s="144">
        <f t="shared" si="15"/>
        <v>1000</v>
      </c>
    </row>
    <row r="289" spans="1:6">
      <c r="A289" s="144" t="s">
        <v>400</v>
      </c>
      <c r="B289" s="144">
        <v>0.09</v>
      </c>
      <c r="C289" s="144">
        <f t="shared" si="14"/>
        <v>90</v>
      </c>
      <c r="D289" s="144" t="s">
        <v>399</v>
      </c>
      <c r="E289" s="144">
        <v>0.1</v>
      </c>
      <c r="F289" s="144">
        <f t="shared" si="15"/>
        <v>100</v>
      </c>
    </row>
    <row r="290" spans="1:6">
      <c r="A290" s="144" t="s">
        <v>398</v>
      </c>
      <c r="B290" s="144">
        <v>0.2</v>
      </c>
      <c r="C290" s="144">
        <f t="shared" si="14"/>
        <v>200</v>
      </c>
      <c r="D290" s="144" t="s">
        <v>397</v>
      </c>
      <c r="E290" s="144">
        <f>0.1+0.05</f>
        <v>0.15000000000000002</v>
      </c>
      <c r="F290" s="144">
        <f t="shared" si="15"/>
        <v>150.00000000000003</v>
      </c>
    </row>
    <row r="291" spans="1:6">
      <c r="A291" s="144" t="s">
        <v>396</v>
      </c>
      <c r="B291" s="144">
        <v>0.3</v>
      </c>
      <c r="C291" s="144">
        <f t="shared" si="14"/>
        <v>300</v>
      </c>
      <c r="D291" s="144" t="s">
        <v>160</v>
      </c>
      <c r="E291" s="144">
        <v>27</v>
      </c>
      <c r="F291" s="144">
        <f t="shared" si="15"/>
        <v>27000</v>
      </c>
    </row>
    <row r="292" spans="1:6">
      <c r="A292" s="144" t="s">
        <v>395</v>
      </c>
      <c r="B292" s="144">
        <v>2.2000000000000002</v>
      </c>
      <c r="C292" s="144">
        <f t="shared" si="14"/>
        <v>2200</v>
      </c>
    </row>
  </sheetData>
  <pageMargins left="0.7" right="0.7" top="0.75" bottom="0.75" header="0.3" footer="0.3"/>
  <pageSetup orientation="portrait"/>
  <drawing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4402F-8953-4B86-AAAD-E5D191CFA0EA}">
  <sheetPr>
    <tabColor theme="5" tint="0.59999389629810485"/>
  </sheetPr>
  <dimension ref="A1:L63"/>
  <sheetViews>
    <sheetView zoomScale="89" zoomScaleNormal="120" workbookViewId="0">
      <selection activeCell="T21" sqref="T21"/>
    </sheetView>
  </sheetViews>
  <sheetFormatPr defaultColWidth="8.6640625" defaultRowHeight="14.4"/>
  <cols>
    <col min="1" max="1" width="40.6640625" style="199" customWidth="1"/>
    <col min="2" max="10" width="8.5546875" style="199" customWidth="1"/>
    <col min="11" max="12" width="6.33203125" style="199" customWidth="1"/>
    <col min="13" max="13" width="8.6640625" style="199"/>
    <col min="14" max="14" width="10" style="199" bestFit="1" customWidth="1"/>
    <col min="15" max="16384" width="8.6640625" style="199"/>
  </cols>
  <sheetData>
    <row r="1" spans="1:12" s="91" customFormat="1"/>
    <row r="2" spans="1:12" ht="15.75" customHeight="1">
      <c r="A2" s="198" t="s">
        <v>613</v>
      </c>
      <c r="B2" s="415" t="s">
        <v>614</v>
      </c>
      <c r="C2" s="416"/>
      <c r="D2" s="416"/>
      <c r="E2" s="416"/>
      <c r="F2" s="416"/>
      <c r="G2" s="416"/>
      <c r="H2" s="416"/>
      <c r="I2" s="416"/>
      <c r="J2" s="416"/>
      <c r="K2" s="416"/>
      <c r="L2" s="417"/>
    </row>
    <row r="3" spans="1:12" ht="15.75" customHeight="1">
      <c r="A3" s="200"/>
      <c r="B3" s="201">
        <v>2020</v>
      </c>
      <c r="C3" s="201">
        <v>2025</v>
      </c>
      <c r="D3" s="202">
        <v>2030</v>
      </c>
      <c r="E3" s="202">
        <v>2040</v>
      </c>
      <c r="F3" s="203">
        <v>2050</v>
      </c>
      <c r="G3" s="418" t="s">
        <v>615</v>
      </c>
      <c r="H3" s="419"/>
      <c r="I3" s="418" t="s">
        <v>616</v>
      </c>
      <c r="J3" s="419"/>
      <c r="K3" s="202" t="s">
        <v>454</v>
      </c>
      <c r="L3" s="204" t="s">
        <v>617</v>
      </c>
    </row>
    <row r="4" spans="1:12">
      <c r="A4" s="200"/>
      <c r="B4" s="205"/>
      <c r="C4" s="206"/>
      <c r="D4" s="207"/>
      <c r="E4" s="207"/>
      <c r="F4" s="207"/>
      <c r="G4" s="208" t="s">
        <v>618</v>
      </c>
      <c r="H4" s="208" t="s">
        <v>619</v>
      </c>
      <c r="I4" s="208" t="s">
        <v>618</v>
      </c>
      <c r="J4" s="208" t="s">
        <v>619</v>
      </c>
      <c r="K4" s="207"/>
      <c r="L4" s="209"/>
    </row>
    <row r="5" spans="1:12">
      <c r="A5" s="210" t="s">
        <v>620</v>
      </c>
      <c r="B5" s="207"/>
      <c r="C5" s="207"/>
      <c r="D5" s="207"/>
      <c r="E5" s="207"/>
      <c r="F5" s="207"/>
      <c r="G5" s="207"/>
      <c r="H5" s="207"/>
      <c r="I5" s="207"/>
      <c r="J5" s="207"/>
      <c r="K5" s="207"/>
      <c r="L5" s="209"/>
    </row>
    <row r="6" spans="1:12">
      <c r="A6" s="211" t="s">
        <v>621</v>
      </c>
      <c r="B6" s="212">
        <v>32</v>
      </c>
      <c r="C6" s="212">
        <v>32</v>
      </c>
      <c r="D6" s="212">
        <v>32</v>
      </c>
      <c r="E6" s="212">
        <v>34</v>
      </c>
      <c r="F6" s="212">
        <v>34</v>
      </c>
      <c r="G6" s="212">
        <v>30</v>
      </c>
      <c r="H6" s="212">
        <v>34</v>
      </c>
      <c r="I6" s="212">
        <v>33</v>
      </c>
      <c r="J6" s="212">
        <v>35</v>
      </c>
      <c r="K6" s="212" t="s">
        <v>622</v>
      </c>
      <c r="L6" s="212"/>
    </row>
    <row r="7" spans="1:12">
      <c r="A7" s="213" t="s">
        <v>623</v>
      </c>
      <c r="B7" s="214"/>
      <c r="C7" s="214"/>
      <c r="D7" s="214"/>
      <c r="E7" s="214"/>
      <c r="F7" s="214"/>
      <c r="G7" s="214"/>
      <c r="H7" s="214"/>
      <c r="I7" s="214"/>
      <c r="J7" s="214"/>
      <c r="K7" s="214"/>
      <c r="L7" s="214"/>
    </row>
    <row r="8" spans="1:12">
      <c r="A8" s="211" t="s">
        <v>624</v>
      </c>
      <c r="B8" s="212">
        <v>5.0999999999999996</v>
      </c>
      <c r="C8" s="212">
        <v>5.0999999999999996</v>
      </c>
      <c r="D8" s="212">
        <v>5.0999999999999996</v>
      </c>
      <c r="E8" s="212">
        <v>4.9000000000000004</v>
      </c>
      <c r="F8" s="212">
        <v>4.9000000000000004</v>
      </c>
      <c r="G8" s="212">
        <v>4.8</v>
      </c>
      <c r="H8" s="212">
        <v>6</v>
      </c>
      <c r="I8" s="212">
        <v>4.7</v>
      </c>
      <c r="J8" s="212">
        <v>6</v>
      </c>
      <c r="K8" s="212"/>
      <c r="L8" s="212"/>
    </row>
    <row r="9" spans="1:12">
      <c r="A9" s="215" t="s">
        <v>625</v>
      </c>
      <c r="B9" s="216">
        <v>15</v>
      </c>
      <c r="C9" s="216">
        <v>15</v>
      </c>
      <c r="D9" s="216">
        <v>15</v>
      </c>
      <c r="E9" s="216">
        <v>15</v>
      </c>
      <c r="F9" s="216">
        <v>15</v>
      </c>
      <c r="G9" s="216">
        <v>12</v>
      </c>
      <c r="H9" s="216">
        <v>15</v>
      </c>
      <c r="I9" s="216">
        <v>12</v>
      </c>
      <c r="J9" s="216">
        <v>15</v>
      </c>
      <c r="K9" s="216"/>
      <c r="L9" s="216"/>
    </row>
    <row r="10" spans="1:12">
      <c r="A10" s="215" t="s">
        <v>626</v>
      </c>
      <c r="B10" s="212">
        <v>35</v>
      </c>
      <c r="C10" s="212">
        <v>35</v>
      </c>
      <c r="D10" s="212">
        <v>35</v>
      </c>
      <c r="E10" s="212">
        <v>35</v>
      </c>
      <c r="F10" s="212">
        <v>35</v>
      </c>
      <c r="G10" s="212">
        <v>30</v>
      </c>
      <c r="H10" s="212">
        <v>40</v>
      </c>
      <c r="I10" s="212">
        <v>30</v>
      </c>
      <c r="J10" s="212">
        <v>40</v>
      </c>
      <c r="K10" s="212" t="s">
        <v>627</v>
      </c>
      <c r="L10" s="212"/>
    </row>
    <row r="11" spans="1:12">
      <c r="A11" s="217" t="s">
        <v>628</v>
      </c>
      <c r="B11" s="212">
        <v>0.83299999999999996</v>
      </c>
      <c r="C11" s="212">
        <v>0.83299999999999996</v>
      </c>
      <c r="D11" s="212">
        <v>0.72</v>
      </c>
      <c r="E11" s="212">
        <v>0.66</v>
      </c>
      <c r="F11" s="212">
        <v>0.66</v>
      </c>
      <c r="G11" s="218">
        <v>0.66</v>
      </c>
      <c r="H11" s="218">
        <v>1</v>
      </c>
      <c r="I11" s="218">
        <v>0.55000000000000004</v>
      </c>
      <c r="J11" s="218">
        <v>0.72</v>
      </c>
      <c r="K11" s="218" t="s">
        <v>629</v>
      </c>
      <c r="L11" s="218"/>
    </row>
    <row r="12" spans="1:12">
      <c r="A12" s="219" t="s">
        <v>630</v>
      </c>
      <c r="B12" s="216">
        <v>0.03</v>
      </c>
      <c r="C12" s="216">
        <v>0.03</v>
      </c>
      <c r="D12" s="216">
        <v>2.5000000000000001E-2</v>
      </c>
      <c r="E12" s="216">
        <v>2.3E-2</v>
      </c>
      <c r="F12" s="216">
        <v>0.02</v>
      </c>
      <c r="G12" s="216">
        <v>2.5000000000000001E-2</v>
      </c>
      <c r="H12" s="216">
        <v>3.5000000000000003E-2</v>
      </c>
      <c r="I12" s="216">
        <v>1.7000000000000001E-2</v>
      </c>
      <c r="J12" s="216">
        <v>2.5000000000000001E-2</v>
      </c>
      <c r="K12" s="216" t="s">
        <v>631</v>
      </c>
      <c r="L12" s="216"/>
    </row>
    <row r="13" spans="1:12">
      <c r="A13" s="217" t="s">
        <v>632</v>
      </c>
      <c r="B13" s="218">
        <v>0.3</v>
      </c>
      <c r="C13" s="218">
        <v>0.3</v>
      </c>
      <c r="D13" s="218">
        <v>0.2</v>
      </c>
      <c r="E13" s="218">
        <v>0.15</v>
      </c>
      <c r="F13" s="218">
        <v>0.1</v>
      </c>
      <c r="G13" s="218">
        <v>0.15</v>
      </c>
      <c r="H13" s="218">
        <v>1.5</v>
      </c>
      <c r="I13" s="218">
        <v>0.05</v>
      </c>
      <c r="J13" s="218">
        <v>0.3</v>
      </c>
      <c r="K13" s="218"/>
      <c r="L13" s="218"/>
    </row>
    <row r="14" spans="1:12">
      <c r="A14" s="211" t="s">
        <v>633</v>
      </c>
      <c r="B14" s="220"/>
      <c r="C14" s="212"/>
      <c r="D14" s="212"/>
      <c r="E14" s="212"/>
      <c r="F14" s="212"/>
      <c r="G14" s="212"/>
      <c r="H14" s="212"/>
      <c r="I14" s="212"/>
      <c r="J14" s="212"/>
      <c r="K14" s="212"/>
      <c r="L14" s="212"/>
    </row>
    <row r="15" spans="1:12">
      <c r="A15" s="213" t="s">
        <v>634</v>
      </c>
      <c r="B15" s="214"/>
      <c r="C15" s="214"/>
      <c r="D15" s="214"/>
      <c r="E15" s="214"/>
      <c r="F15" s="214"/>
      <c r="G15" s="214"/>
      <c r="H15" s="214"/>
      <c r="I15" s="214"/>
      <c r="J15" s="214"/>
      <c r="K15" s="214"/>
      <c r="L15" s="214"/>
    </row>
    <row r="16" spans="1:12">
      <c r="A16" s="221" t="s">
        <v>635</v>
      </c>
      <c r="B16" s="212">
        <v>97</v>
      </c>
      <c r="C16" s="212">
        <v>97</v>
      </c>
      <c r="D16" s="212">
        <v>98</v>
      </c>
      <c r="E16" s="212">
        <v>99</v>
      </c>
      <c r="F16" s="212">
        <v>99</v>
      </c>
      <c r="G16" s="212">
        <v>96</v>
      </c>
      <c r="H16" s="212">
        <v>98</v>
      </c>
      <c r="I16" s="212">
        <v>98</v>
      </c>
      <c r="J16" s="212">
        <v>99</v>
      </c>
      <c r="K16" s="212" t="s">
        <v>636</v>
      </c>
      <c r="L16" s="212"/>
    </row>
    <row r="17" spans="1:12">
      <c r="A17" s="221" t="s">
        <v>637</v>
      </c>
      <c r="B17" s="212">
        <v>160</v>
      </c>
      <c r="C17" s="212">
        <v>160</v>
      </c>
      <c r="D17" s="212">
        <v>300</v>
      </c>
      <c r="E17" s="212">
        <v>400</v>
      </c>
      <c r="F17" s="212">
        <v>400</v>
      </c>
      <c r="G17" s="212">
        <v>120</v>
      </c>
      <c r="H17" s="212">
        <v>300</v>
      </c>
      <c r="I17" s="212">
        <v>300</v>
      </c>
      <c r="J17" s="212">
        <v>600</v>
      </c>
      <c r="K17" s="212" t="s">
        <v>638</v>
      </c>
      <c r="L17" s="212"/>
    </row>
    <row r="18" spans="1:12">
      <c r="A18" s="211" t="s">
        <v>639</v>
      </c>
      <c r="B18" s="212">
        <v>90</v>
      </c>
      <c r="C18" s="212">
        <v>90</v>
      </c>
      <c r="D18" s="212">
        <v>90</v>
      </c>
      <c r="E18" s="212">
        <v>95</v>
      </c>
      <c r="F18" s="212">
        <v>95</v>
      </c>
      <c r="G18" s="212">
        <v>85</v>
      </c>
      <c r="H18" s="212">
        <v>95</v>
      </c>
      <c r="I18" s="212">
        <v>92</v>
      </c>
      <c r="J18" s="212">
        <v>99</v>
      </c>
      <c r="K18" s="212" t="s">
        <v>640</v>
      </c>
      <c r="L18" s="212"/>
    </row>
    <row r="19" spans="1:12">
      <c r="A19" s="211" t="s">
        <v>641</v>
      </c>
      <c r="B19" s="212">
        <v>0.83299999999999996</v>
      </c>
      <c r="C19" s="212">
        <v>0.83299999999999996</v>
      </c>
      <c r="D19" s="212">
        <v>0.72</v>
      </c>
      <c r="E19" s="212">
        <v>0.66</v>
      </c>
      <c r="F19" s="212">
        <v>0.66</v>
      </c>
      <c r="G19" s="218">
        <v>0.66</v>
      </c>
      <c r="H19" s="218">
        <v>1</v>
      </c>
      <c r="I19" s="218">
        <v>0.55000000000000004</v>
      </c>
      <c r="J19" s="218">
        <v>0.72</v>
      </c>
      <c r="K19" s="212"/>
      <c r="L19" s="212"/>
    </row>
    <row r="20" spans="1:12">
      <c r="A20" s="215" t="s">
        <v>642</v>
      </c>
      <c r="B20" s="212">
        <v>60</v>
      </c>
      <c r="C20" s="212">
        <v>60</v>
      </c>
      <c r="D20" s="212">
        <v>60</v>
      </c>
      <c r="E20" s="212">
        <v>70</v>
      </c>
      <c r="F20" s="212">
        <v>70</v>
      </c>
      <c r="G20" s="212">
        <v>50</v>
      </c>
      <c r="H20" s="212">
        <v>80</v>
      </c>
      <c r="I20" s="212">
        <v>50</v>
      </c>
      <c r="J20" s="212">
        <v>120</v>
      </c>
      <c r="K20" s="212" t="s">
        <v>643</v>
      </c>
      <c r="L20" s="212"/>
    </row>
    <row r="21" spans="1:12">
      <c r="A21" s="222" t="s">
        <v>644</v>
      </c>
      <c r="B21" s="218"/>
      <c r="C21" s="218"/>
      <c r="D21" s="218"/>
      <c r="E21" s="218"/>
      <c r="F21" s="218"/>
      <c r="G21" s="218"/>
      <c r="H21" s="218"/>
      <c r="I21" s="218"/>
      <c r="J21" s="218"/>
      <c r="K21" s="218"/>
      <c r="L21" s="218"/>
    </row>
    <row r="22" spans="1:12">
      <c r="A22" s="213" t="s">
        <v>645</v>
      </c>
      <c r="B22" s="218"/>
      <c r="C22" s="218"/>
      <c r="D22" s="218"/>
      <c r="E22" s="218"/>
      <c r="F22" s="218"/>
      <c r="G22" s="218"/>
      <c r="H22" s="218"/>
      <c r="I22" s="218"/>
      <c r="J22" s="218"/>
      <c r="K22" s="218"/>
      <c r="L22" s="218"/>
    </row>
    <row r="23" spans="1:12">
      <c r="A23" s="211" t="s">
        <v>646</v>
      </c>
      <c r="B23" s="212">
        <v>5</v>
      </c>
      <c r="C23" s="212">
        <v>5</v>
      </c>
      <c r="D23" s="212">
        <v>3</v>
      </c>
      <c r="E23" s="212">
        <v>3</v>
      </c>
      <c r="F23" s="212">
        <v>3</v>
      </c>
      <c r="G23" s="212">
        <v>3</v>
      </c>
      <c r="H23" s="212">
        <v>3</v>
      </c>
      <c r="I23" s="212">
        <v>3</v>
      </c>
      <c r="J23" s="212">
        <v>3</v>
      </c>
      <c r="K23" s="212"/>
      <c r="L23" s="212"/>
    </row>
    <row r="24" spans="1:12">
      <c r="A24" s="211" t="s">
        <v>647</v>
      </c>
      <c r="B24" s="212">
        <v>3</v>
      </c>
      <c r="C24" s="212">
        <v>3</v>
      </c>
      <c r="D24" s="212">
        <v>3</v>
      </c>
      <c r="E24" s="212">
        <v>2</v>
      </c>
      <c r="F24" s="212">
        <v>2</v>
      </c>
      <c r="G24" s="212">
        <v>2</v>
      </c>
      <c r="H24" s="212">
        <v>4</v>
      </c>
      <c r="I24" s="212">
        <v>2</v>
      </c>
      <c r="J24" s="212">
        <v>3</v>
      </c>
      <c r="K24" s="212"/>
      <c r="L24" s="212"/>
    </row>
    <row r="25" spans="1:12">
      <c r="A25" s="211" t="s">
        <v>648</v>
      </c>
      <c r="B25" s="212">
        <v>25</v>
      </c>
      <c r="C25" s="212">
        <v>25</v>
      </c>
      <c r="D25" s="212">
        <v>25</v>
      </c>
      <c r="E25" s="212">
        <v>25</v>
      </c>
      <c r="F25" s="212">
        <v>25</v>
      </c>
      <c r="G25" s="212">
        <v>25</v>
      </c>
      <c r="H25" s="212">
        <v>25</v>
      </c>
      <c r="I25" s="212">
        <v>25</v>
      </c>
      <c r="J25" s="212">
        <v>25</v>
      </c>
      <c r="K25" s="212"/>
      <c r="L25" s="212"/>
    </row>
    <row r="26" spans="1:12">
      <c r="A26" s="211" t="s">
        <v>649</v>
      </c>
      <c r="B26" s="212">
        <v>2.5</v>
      </c>
      <c r="C26" s="212">
        <v>2.5</v>
      </c>
      <c r="D26" s="212">
        <v>2.5</v>
      </c>
      <c r="E26" s="212">
        <v>2</v>
      </c>
      <c r="F26" s="212">
        <v>2</v>
      </c>
      <c r="G26" s="212">
        <v>2</v>
      </c>
      <c r="H26" s="212">
        <v>4</v>
      </c>
      <c r="I26" s="212">
        <v>2</v>
      </c>
      <c r="J26" s="212">
        <v>3</v>
      </c>
      <c r="K26" s="212"/>
      <c r="L26" s="212"/>
    </row>
    <row r="27" spans="1:12" ht="14.7" customHeight="1">
      <c r="A27" s="223" t="s">
        <v>650</v>
      </c>
      <c r="B27" s="223"/>
      <c r="C27" s="223"/>
      <c r="D27" s="223"/>
      <c r="E27" s="223"/>
      <c r="F27" s="223"/>
      <c r="G27" s="223"/>
      <c r="H27" s="223"/>
      <c r="I27" s="223"/>
      <c r="J27" s="223"/>
      <c r="K27" s="223"/>
      <c r="L27" s="223"/>
    </row>
    <row r="28" spans="1:12">
      <c r="A28" s="211" t="s">
        <v>651</v>
      </c>
      <c r="B28" s="224">
        <v>3.3</v>
      </c>
      <c r="C28" s="224">
        <v>3</v>
      </c>
      <c r="D28" s="224">
        <v>2.7</v>
      </c>
      <c r="E28" s="224">
        <v>2.4</v>
      </c>
      <c r="F28" s="224">
        <v>2</v>
      </c>
      <c r="G28" s="224">
        <v>2.5</v>
      </c>
      <c r="H28" s="224">
        <v>5</v>
      </c>
      <c r="I28" s="224">
        <v>1.6</v>
      </c>
      <c r="J28" s="212">
        <v>2.8</v>
      </c>
      <c r="K28" s="212" t="s">
        <v>652</v>
      </c>
      <c r="L28" s="212"/>
    </row>
    <row r="29" spans="1:12">
      <c r="A29" s="215" t="s">
        <v>653</v>
      </c>
      <c r="B29" s="212">
        <v>50</v>
      </c>
      <c r="C29" s="212">
        <v>50</v>
      </c>
      <c r="D29" s="212">
        <v>50</v>
      </c>
      <c r="E29" s="212">
        <v>50</v>
      </c>
      <c r="F29" s="212">
        <v>50</v>
      </c>
      <c r="G29" s="212"/>
      <c r="H29" s="212"/>
      <c r="I29" s="212"/>
      <c r="J29" s="215"/>
      <c r="K29" s="212" t="s">
        <v>654</v>
      </c>
      <c r="L29" s="212"/>
    </row>
    <row r="30" spans="1:12">
      <c r="A30" s="211" t="s">
        <v>655</v>
      </c>
      <c r="B30" s="212">
        <v>10</v>
      </c>
      <c r="C30" s="212">
        <v>10</v>
      </c>
      <c r="D30" s="212">
        <v>10</v>
      </c>
      <c r="E30" s="212">
        <v>10</v>
      </c>
      <c r="F30" s="212">
        <v>10</v>
      </c>
      <c r="G30" s="212"/>
      <c r="H30" s="212"/>
      <c r="I30" s="212"/>
      <c r="J30" s="215"/>
      <c r="K30" s="212" t="s">
        <v>656</v>
      </c>
      <c r="L30" s="212"/>
    </row>
    <row r="31" spans="1:12">
      <c r="A31" s="225" t="s">
        <v>657</v>
      </c>
      <c r="B31" s="212">
        <v>10</v>
      </c>
      <c r="C31" s="212">
        <v>10</v>
      </c>
      <c r="D31" s="212">
        <v>10</v>
      </c>
      <c r="E31" s="212">
        <v>10</v>
      </c>
      <c r="F31" s="212">
        <v>10</v>
      </c>
      <c r="G31" s="212"/>
      <c r="H31" s="212"/>
      <c r="I31" s="212"/>
      <c r="J31" s="215"/>
      <c r="K31" s="226"/>
      <c r="L31" s="212"/>
    </row>
    <row r="32" spans="1:12">
      <c r="A32" s="211" t="s">
        <v>658</v>
      </c>
      <c r="B32" s="212">
        <v>15</v>
      </c>
      <c r="C32" s="212">
        <v>15</v>
      </c>
      <c r="D32" s="212">
        <v>15</v>
      </c>
      <c r="E32" s="212">
        <v>15</v>
      </c>
      <c r="F32" s="212">
        <v>15</v>
      </c>
      <c r="G32" s="212"/>
      <c r="H32" s="212"/>
      <c r="I32" s="212"/>
      <c r="J32" s="215"/>
      <c r="K32" s="212" t="s">
        <v>659</v>
      </c>
      <c r="L32" s="212"/>
    </row>
    <row r="33" spans="1:12">
      <c r="A33" s="211" t="s">
        <v>660</v>
      </c>
      <c r="B33" s="212">
        <v>15</v>
      </c>
      <c r="C33" s="212">
        <v>15</v>
      </c>
      <c r="D33" s="212">
        <v>15</v>
      </c>
      <c r="E33" s="212">
        <v>15</v>
      </c>
      <c r="F33" s="212">
        <v>15</v>
      </c>
      <c r="G33" s="212"/>
      <c r="H33" s="212"/>
      <c r="I33" s="212"/>
      <c r="J33" s="211"/>
      <c r="K33" s="226"/>
      <c r="L33" s="212"/>
    </row>
    <row r="34" spans="1:12">
      <c r="A34" s="222" t="s">
        <v>661</v>
      </c>
      <c r="B34" s="218">
        <f>B28*0.03</f>
        <v>9.8999999999999991E-2</v>
      </c>
      <c r="C34" s="218">
        <f t="shared" ref="C34:J34" si="0">C28*0.03</f>
        <v>0.09</v>
      </c>
      <c r="D34" s="218">
        <f t="shared" si="0"/>
        <v>8.1000000000000003E-2</v>
      </c>
      <c r="E34" s="218">
        <f t="shared" si="0"/>
        <v>7.1999999999999995E-2</v>
      </c>
      <c r="F34" s="218">
        <f t="shared" si="0"/>
        <v>0.06</v>
      </c>
      <c r="G34" s="218">
        <f t="shared" si="0"/>
        <v>7.4999999999999997E-2</v>
      </c>
      <c r="H34" s="218">
        <f t="shared" si="0"/>
        <v>0.15</v>
      </c>
      <c r="I34" s="218">
        <f t="shared" si="0"/>
        <v>4.8000000000000001E-2</v>
      </c>
      <c r="J34" s="218">
        <f t="shared" si="0"/>
        <v>8.3999999999999991E-2</v>
      </c>
      <c r="K34" s="212" t="s">
        <v>662</v>
      </c>
      <c r="L34" s="218"/>
    </row>
    <row r="35" spans="1:12">
      <c r="A35" s="215" t="s">
        <v>663</v>
      </c>
      <c r="B35" s="212">
        <v>2.5</v>
      </c>
      <c r="C35" s="212">
        <v>2.5</v>
      </c>
      <c r="D35" s="212">
        <v>2.5</v>
      </c>
      <c r="E35" s="212">
        <v>2.5</v>
      </c>
      <c r="F35" s="212">
        <v>2.5</v>
      </c>
      <c r="G35" s="218">
        <v>1.5</v>
      </c>
      <c r="H35" s="218">
        <v>3.5</v>
      </c>
      <c r="I35" s="218">
        <v>1.5</v>
      </c>
      <c r="J35" s="218">
        <v>3.5</v>
      </c>
      <c r="K35" s="226"/>
      <c r="L35" s="212"/>
    </row>
    <row r="36" spans="1:12">
      <c r="A36" s="221" t="s">
        <v>664</v>
      </c>
      <c r="B36" s="212">
        <v>25</v>
      </c>
      <c r="C36" s="212">
        <v>25</v>
      </c>
      <c r="D36" s="212">
        <v>25</v>
      </c>
      <c r="E36" s="212">
        <v>25</v>
      </c>
      <c r="F36" s="212">
        <v>25</v>
      </c>
      <c r="G36" s="212"/>
      <c r="H36" s="212"/>
      <c r="I36" s="212"/>
      <c r="J36" s="215"/>
      <c r="K36" s="226"/>
      <c r="L36" s="212"/>
    </row>
    <row r="37" spans="1:12">
      <c r="A37" s="210" t="s">
        <v>665</v>
      </c>
      <c r="B37" s="227"/>
      <c r="C37" s="227"/>
      <c r="D37" s="227"/>
      <c r="E37" s="227"/>
      <c r="F37" s="227"/>
      <c r="G37" s="227"/>
      <c r="H37" s="227"/>
      <c r="I37" s="227"/>
      <c r="J37" s="227"/>
      <c r="K37" s="227"/>
      <c r="L37" s="228"/>
    </row>
    <row r="38" spans="1:12" ht="20.399999999999999">
      <c r="A38" s="215" t="s">
        <v>666</v>
      </c>
      <c r="B38" s="229">
        <v>0.1</v>
      </c>
      <c r="C38" s="229">
        <v>0.1</v>
      </c>
      <c r="D38" s="212">
        <v>8.5000000000000006E-2</v>
      </c>
      <c r="E38" s="212">
        <v>7.4999999999999997E-2</v>
      </c>
      <c r="F38" s="212">
        <v>7.4999999999999997E-2</v>
      </c>
      <c r="G38" s="212">
        <v>0.09</v>
      </c>
      <c r="H38" s="212">
        <v>0.11</v>
      </c>
      <c r="I38" s="212">
        <v>7.0000000000000007E-2</v>
      </c>
      <c r="J38" s="216">
        <v>0.09</v>
      </c>
      <c r="K38" s="212" t="s">
        <v>667</v>
      </c>
      <c r="L38" s="212"/>
    </row>
    <row r="39" spans="1:12" ht="20.399999999999999">
      <c r="A39" s="215" t="s">
        <v>668</v>
      </c>
      <c r="B39" s="212">
        <v>0.16</v>
      </c>
      <c r="C39" s="212">
        <v>0.16</v>
      </c>
      <c r="D39" s="212">
        <v>0.14000000000000001</v>
      </c>
      <c r="E39" s="212">
        <v>0.13</v>
      </c>
      <c r="F39" s="212">
        <v>0.13</v>
      </c>
      <c r="G39" s="212">
        <v>0.14000000000000001</v>
      </c>
      <c r="H39" s="212">
        <v>0.18</v>
      </c>
      <c r="I39" s="212">
        <v>0.12</v>
      </c>
      <c r="J39" s="216">
        <v>0.15</v>
      </c>
      <c r="K39" s="212" t="s">
        <v>667</v>
      </c>
      <c r="L39" s="212"/>
    </row>
    <row r="40" spans="1:12">
      <c r="A40" s="215"/>
      <c r="B40" s="212"/>
      <c r="C40" s="212"/>
      <c r="D40" s="212"/>
      <c r="E40" s="212"/>
      <c r="F40" s="212"/>
      <c r="G40" s="212"/>
      <c r="H40" s="212"/>
      <c r="I40" s="212"/>
      <c r="J40" s="215"/>
      <c r="K40" s="212"/>
      <c r="L40" s="212"/>
    </row>
    <row r="41" spans="1:12">
      <c r="A41" s="211"/>
      <c r="B41" s="212"/>
      <c r="C41" s="212"/>
      <c r="D41" s="212"/>
      <c r="E41" s="212"/>
      <c r="F41" s="211"/>
      <c r="G41" s="212"/>
      <c r="H41" s="212"/>
      <c r="I41" s="212"/>
      <c r="J41" s="211"/>
      <c r="K41" s="212"/>
      <c r="L41" s="212"/>
    </row>
    <row r="42" spans="1:12">
      <c r="A42" s="230"/>
    </row>
    <row r="43" spans="1:12">
      <c r="A43" s="231" t="s">
        <v>669</v>
      </c>
      <c r="C43" s="232"/>
      <c r="D43" s="232"/>
      <c r="E43" s="232"/>
      <c r="F43" s="232"/>
      <c r="G43" s="232"/>
      <c r="H43" s="232"/>
      <c r="I43" s="232"/>
      <c r="J43" s="232"/>
      <c r="K43" s="233"/>
    </row>
    <row r="44" spans="1:12">
      <c r="A44" s="199">
        <v>1</v>
      </c>
      <c r="D44" s="234"/>
    </row>
    <row r="45" spans="1:12">
      <c r="A45" s="199">
        <v>2</v>
      </c>
      <c r="D45" s="234"/>
    </row>
    <row r="46" spans="1:12">
      <c r="A46" s="199">
        <v>3</v>
      </c>
      <c r="D46" s="234"/>
    </row>
    <row r="49" spans="1:2">
      <c r="A49" s="235" t="s">
        <v>670</v>
      </c>
    </row>
    <row r="50" spans="1:2">
      <c r="A50" s="236" t="s">
        <v>622</v>
      </c>
      <c r="B50" s="199" t="s">
        <v>671</v>
      </c>
    </row>
    <row r="51" spans="1:2">
      <c r="A51" s="236" t="s">
        <v>627</v>
      </c>
      <c r="B51" s="199" t="s">
        <v>672</v>
      </c>
    </row>
    <row r="52" spans="1:2">
      <c r="A52" s="236" t="s">
        <v>629</v>
      </c>
      <c r="B52" s="199" t="s">
        <v>673</v>
      </c>
    </row>
    <row r="53" spans="1:2">
      <c r="A53" s="236" t="s">
        <v>631</v>
      </c>
      <c r="B53" s="199" t="s">
        <v>674</v>
      </c>
    </row>
    <row r="54" spans="1:2">
      <c r="A54" s="236" t="s">
        <v>636</v>
      </c>
      <c r="B54" s="199" t="s">
        <v>675</v>
      </c>
    </row>
    <row r="55" spans="1:2">
      <c r="A55" s="236" t="s">
        <v>638</v>
      </c>
      <c r="B55" s="199" t="s">
        <v>676</v>
      </c>
    </row>
    <row r="56" spans="1:2">
      <c r="A56" s="236" t="s">
        <v>640</v>
      </c>
      <c r="B56" s="199" t="s">
        <v>677</v>
      </c>
    </row>
    <row r="57" spans="1:2">
      <c r="A57" s="236" t="s">
        <v>643</v>
      </c>
      <c r="B57" s="199" t="s">
        <v>678</v>
      </c>
    </row>
    <row r="58" spans="1:2">
      <c r="A58" s="236" t="s">
        <v>652</v>
      </c>
      <c r="B58" s="199" t="s">
        <v>679</v>
      </c>
    </row>
    <row r="59" spans="1:2">
      <c r="A59" s="236" t="s">
        <v>654</v>
      </c>
      <c r="B59" s="199" t="s">
        <v>680</v>
      </c>
    </row>
    <row r="60" spans="1:2">
      <c r="A60" s="236" t="s">
        <v>656</v>
      </c>
      <c r="B60" s="199" t="s">
        <v>681</v>
      </c>
    </row>
    <row r="61" spans="1:2">
      <c r="A61" s="236" t="s">
        <v>659</v>
      </c>
      <c r="B61" s="199" t="s">
        <v>682</v>
      </c>
    </row>
    <row r="62" spans="1:2">
      <c r="A62" s="236" t="s">
        <v>662</v>
      </c>
      <c r="B62" s="199" t="s">
        <v>683</v>
      </c>
    </row>
    <row r="63" spans="1:2">
      <c r="A63" s="236" t="s">
        <v>667</v>
      </c>
      <c r="B63" s="199" t="s">
        <v>684</v>
      </c>
    </row>
  </sheetData>
  <mergeCells count="3">
    <mergeCell ref="B2:L2"/>
    <mergeCell ref="G3:H3"/>
    <mergeCell ref="I3:J3"/>
  </mergeCells>
  <hyperlinks>
    <hyperlink ref="B2" location="INDEX" display="Post-combustion carbon capture retrofit - 100 MW(th) WtE or biomass CHP plant" xr:uid="{D8E8ED81-DF33-43E6-A5DD-68FE745F8DB1}"/>
  </hyperlink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D1ED4-775E-455B-BBE2-8418BA63A4B5}">
  <sheetPr>
    <tabColor theme="5" tint="0.59999389629810485"/>
  </sheetPr>
  <dimension ref="A1:L63"/>
  <sheetViews>
    <sheetView topLeftCell="A5" zoomScale="110" zoomScaleNormal="110" workbookViewId="0">
      <selection activeCell="B32" sqref="B32"/>
    </sheetView>
  </sheetViews>
  <sheetFormatPr defaultColWidth="8.6640625" defaultRowHeight="14.4"/>
  <cols>
    <col min="1" max="1" width="40.6640625" style="199" customWidth="1"/>
    <col min="2" max="10" width="8.5546875" style="199" customWidth="1"/>
    <col min="11" max="12" width="6.33203125" style="199" customWidth="1"/>
    <col min="13" max="13" width="8.6640625" style="199"/>
    <col min="14" max="14" width="10" style="199" bestFit="1" customWidth="1"/>
    <col min="15" max="16384" width="8.6640625" style="199"/>
  </cols>
  <sheetData>
    <row r="1" spans="1:12" s="91" customFormat="1"/>
    <row r="2" spans="1:12" ht="15.75" customHeight="1">
      <c r="A2" s="198" t="s">
        <v>613</v>
      </c>
      <c r="B2" s="415" t="s">
        <v>685</v>
      </c>
      <c r="C2" s="416"/>
      <c r="D2" s="416"/>
      <c r="E2" s="416"/>
      <c r="F2" s="416"/>
      <c r="G2" s="416"/>
      <c r="H2" s="416"/>
      <c r="I2" s="416"/>
      <c r="J2" s="416"/>
      <c r="K2" s="416"/>
      <c r="L2" s="417"/>
    </row>
    <row r="3" spans="1:12" ht="15.75" customHeight="1">
      <c r="A3" s="200"/>
      <c r="B3" s="201">
        <v>2020</v>
      </c>
      <c r="C3" s="201">
        <v>2025</v>
      </c>
      <c r="D3" s="202">
        <v>2030</v>
      </c>
      <c r="E3" s="202">
        <v>2040</v>
      </c>
      <c r="F3" s="203">
        <v>2050</v>
      </c>
      <c r="G3" s="418" t="s">
        <v>615</v>
      </c>
      <c r="H3" s="419"/>
      <c r="I3" s="418" t="s">
        <v>616</v>
      </c>
      <c r="J3" s="419"/>
      <c r="K3" s="202" t="s">
        <v>454</v>
      </c>
      <c r="L3" s="204" t="s">
        <v>617</v>
      </c>
    </row>
    <row r="4" spans="1:12">
      <c r="A4" s="200"/>
      <c r="B4" s="205"/>
      <c r="C4" s="206"/>
      <c r="D4" s="207"/>
      <c r="E4" s="207"/>
      <c r="F4" s="207"/>
      <c r="G4" s="208" t="s">
        <v>618</v>
      </c>
      <c r="H4" s="208" t="s">
        <v>619</v>
      </c>
      <c r="I4" s="208" t="s">
        <v>618</v>
      </c>
      <c r="J4" s="208" t="s">
        <v>619</v>
      </c>
      <c r="K4" s="207"/>
      <c r="L4" s="209"/>
    </row>
    <row r="5" spans="1:12">
      <c r="A5" s="210" t="s">
        <v>620</v>
      </c>
      <c r="B5" s="207"/>
      <c r="C5" s="207"/>
      <c r="D5" s="207"/>
      <c r="E5" s="207"/>
      <c r="F5" s="207"/>
      <c r="G5" s="207"/>
      <c r="H5" s="207"/>
      <c r="I5" s="207"/>
      <c r="J5" s="207"/>
      <c r="K5" s="207"/>
      <c r="L5" s="209"/>
    </row>
    <row r="6" spans="1:12">
      <c r="A6" s="211" t="s">
        <v>621</v>
      </c>
      <c r="B6" s="212">
        <v>164</v>
      </c>
      <c r="C6" s="212">
        <v>164</v>
      </c>
      <c r="D6" s="212">
        <v>164</v>
      </c>
      <c r="E6" s="212">
        <v>173</v>
      </c>
      <c r="F6" s="212">
        <v>173</v>
      </c>
      <c r="G6" s="212">
        <v>155</v>
      </c>
      <c r="H6" s="212">
        <v>173</v>
      </c>
      <c r="I6" s="212">
        <v>167</v>
      </c>
      <c r="J6" s="212">
        <v>180</v>
      </c>
      <c r="K6" s="212"/>
      <c r="L6" s="212"/>
    </row>
    <row r="7" spans="1:12">
      <c r="A7" s="213" t="s">
        <v>623</v>
      </c>
      <c r="B7" s="214"/>
      <c r="C7" s="214"/>
      <c r="D7" s="214"/>
      <c r="E7" s="214"/>
      <c r="F7" s="214"/>
      <c r="G7" s="214"/>
      <c r="H7" s="214"/>
      <c r="I7" s="214"/>
      <c r="J7" s="214"/>
      <c r="K7" s="214"/>
      <c r="L7" s="214"/>
    </row>
    <row r="8" spans="1:12">
      <c r="A8" s="211" t="s">
        <v>624</v>
      </c>
      <c r="B8" s="212">
        <v>5.0999999999999996</v>
      </c>
      <c r="C8" s="212">
        <v>5.0999999999999996</v>
      </c>
      <c r="D8" s="212">
        <v>5.0999999999999996</v>
      </c>
      <c r="E8" s="212">
        <v>4.8</v>
      </c>
      <c r="F8" s="212">
        <v>4.8</v>
      </c>
      <c r="G8" s="212">
        <v>5.4</v>
      </c>
      <c r="H8" s="212">
        <v>4.8</v>
      </c>
      <c r="I8" s="212">
        <v>5</v>
      </c>
      <c r="J8" s="212">
        <v>4.7</v>
      </c>
      <c r="K8" s="212"/>
      <c r="L8" s="212"/>
    </row>
    <row r="9" spans="1:12">
      <c r="A9" s="215" t="s">
        <v>625</v>
      </c>
      <c r="B9" s="216">
        <v>17</v>
      </c>
      <c r="C9" s="216">
        <v>17</v>
      </c>
      <c r="D9" s="216">
        <v>17</v>
      </c>
      <c r="E9" s="216">
        <v>17</v>
      </c>
      <c r="F9" s="216">
        <v>17</v>
      </c>
      <c r="G9" s="216">
        <v>15</v>
      </c>
      <c r="H9" s="216">
        <v>17</v>
      </c>
      <c r="I9" s="216">
        <v>15</v>
      </c>
      <c r="J9" s="216">
        <v>17</v>
      </c>
      <c r="K9" s="216"/>
      <c r="L9" s="216"/>
    </row>
    <row r="10" spans="1:12">
      <c r="A10" s="215" t="s">
        <v>686</v>
      </c>
      <c r="B10" s="212">
        <v>35</v>
      </c>
      <c r="C10" s="212">
        <v>35</v>
      </c>
      <c r="D10" s="212">
        <v>35</v>
      </c>
      <c r="E10" s="212">
        <v>35</v>
      </c>
      <c r="F10" s="212">
        <v>35</v>
      </c>
      <c r="G10" s="212">
        <v>30</v>
      </c>
      <c r="H10" s="212">
        <v>40</v>
      </c>
      <c r="I10" s="212">
        <v>30</v>
      </c>
      <c r="J10" s="212">
        <v>40</v>
      </c>
      <c r="K10" s="212" t="s">
        <v>627</v>
      </c>
      <c r="L10" s="212"/>
    </row>
    <row r="11" spans="1:12">
      <c r="A11" s="217" t="s">
        <v>628</v>
      </c>
      <c r="B11" s="212">
        <v>0.83299999999999996</v>
      </c>
      <c r="C11" s="212">
        <v>0.83299999999999996</v>
      </c>
      <c r="D11" s="212">
        <v>0.72</v>
      </c>
      <c r="E11" s="212">
        <v>0.66</v>
      </c>
      <c r="F11" s="212">
        <v>0.66</v>
      </c>
      <c r="G11" s="218">
        <v>0.66</v>
      </c>
      <c r="H11" s="218">
        <v>1</v>
      </c>
      <c r="I11" s="218">
        <v>0.55000000000000004</v>
      </c>
      <c r="J11" s="218">
        <v>0.72</v>
      </c>
      <c r="K11" s="218" t="s">
        <v>629</v>
      </c>
      <c r="L11" s="218"/>
    </row>
    <row r="12" spans="1:12">
      <c r="A12" s="219" t="s">
        <v>630</v>
      </c>
      <c r="B12" s="216">
        <v>0.03</v>
      </c>
      <c r="C12" s="216">
        <v>0.03</v>
      </c>
      <c r="D12" s="216">
        <v>2.5000000000000001E-2</v>
      </c>
      <c r="E12" s="216">
        <v>2.3E-2</v>
      </c>
      <c r="F12" s="216">
        <v>0.02</v>
      </c>
      <c r="G12" s="216">
        <v>2.5000000000000001E-2</v>
      </c>
      <c r="H12" s="216">
        <v>3.5000000000000003E-2</v>
      </c>
      <c r="I12" s="216">
        <v>1.7000000000000001E-2</v>
      </c>
      <c r="J12" s="216">
        <v>2.5000000000000001E-2</v>
      </c>
      <c r="K12" s="216" t="s">
        <v>631</v>
      </c>
      <c r="L12" s="216"/>
    </row>
    <row r="13" spans="1:12">
      <c r="A13" s="217" t="s">
        <v>632</v>
      </c>
      <c r="B13" s="218">
        <v>0.3</v>
      </c>
      <c r="C13" s="218">
        <v>0.3</v>
      </c>
      <c r="D13" s="218">
        <v>0.2</v>
      </c>
      <c r="E13" s="218">
        <v>0.15</v>
      </c>
      <c r="F13" s="218">
        <v>0.1</v>
      </c>
      <c r="G13" s="218">
        <v>0.15</v>
      </c>
      <c r="H13" s="218">
        <v>1.5</v>
      </c>
      <c r="I13" s="218">
        <v>0.05</v>
      </c>
      <c r="J13" s="218">
        <v>0.3</v>
      </c>
      <c r="K13" s="218"/>
      <c r="L13" s="218"/>
    </row>
    <row r="14" spans="1:12">
      <c r="A14" s="211" t="s">
        <v>633</v>
      </c>
      <c r="B14" s="220"/>
      <c r="C14" s="212"/>
      <c r="D14" s="212"/>
      <c r="E14" s="212"/>
      <c r="F14" s="212"/>
      <c r="G14" s="212"/>
      <c r="H14" s="212"/>
      <c r="I14" s="212"/>
      <c r="J14" s="212"/>
      <c r="K14" s="212"/>
      <c r="L14" s="212"/>
    </row>
    <row r="15" spans="1:12">
      <c r="A15" s="213" t="s">
        <v>634</v>
      </c>
      <c r="B15" s="214"/>
      <c r="C15" s="214"/>
      <c r="D15" s="214"/>
      <c r="E15" s="214"/>
      <c r="F15" s="214"/>
      <c r="G15" s="214"/>
      <c r="H15" s="214"/>
      <c r="I15" s="214"/>
      <c r="J15" s="214"/>
      <c r="K15" s="214"/>
      <c r="L15" s="214"/>
    </row>
    <row r="16" spans="1:12">
      <c r="A16" s="221" t="s">
        <v>687</v>
      </c>
      <c r="B16" s="212">
        <v>97</v>
      </c>
      <c r="C16" s="212">
        <v>97</v>
      </c>
      <c r="D16" s="212">
        <v>98</v>
      </c>
      <c r="E16" s="212">
        <v>99</v>
      </c>
      <c r="F16" s="212">
        <v>99</v>
      </c>
      <c r="G16" s="212">
        <v>96</v>
      </c>
      <c r="H16" s="212">
        <v>98</v>
      </c>
      <c r="I16" s="212">
        <v>98</v>
      </c>
      <c r="J16" s="212">
        <v>99</v>
      </c>
      <c r="K16" s="212" t="s">
        <v>636</v>
      </c>
      <c r="L16" s="212"/>
    </row>
    <row r="17" spans="1:12">
      <c r="A17" s="221" t="s">
        <v>688</v>
      </c>
      <c r="B17" s="212">
        <v>160</v>
      </c>
      <c r="C17" s="212">
        <v>160</v>
      </c>
      <c r="D17" s="212">
        <v>300</v>
      </c>
      <c r="E17" s="212">
        <v>400</v>
      </c>
      <c r="F17" s="212">
        <v>400</v>
      </c>
      <c r="G17" s="212">
        <v>120</v>
      </c>
      <c r="H17" s="212">
        <v>300</v>
      </c>
      <c r="I17" s="212">
        <v>300</v>
      </c>
      <c r="J17" s="212">
        <v>600</v>
      </c>
      <c r="K17" s="212" t="s">
        <v>638</v>
      </c>
      <c r="L17" s="212"/>
    </row>
    <row r="18" spans="1:12">
      <c r="A18" s="211" t="s">
        <v>689</v>
      </c>
      <c r="B18" s="212">
        <v>90</v>
      </c>
      <c r="C18" s="212">
        <v>90</v>
      </c>
      <c r="D18" s="212">
        <v>90</v>
      </c>
      <c r="E18" s="212">
        <v>95</v>
      </c>
      <c r="F18" s="212">
        <v>95</v>
      </c>
      <c r="G18" s="212">
        <v>85</v>
      </c>
      <c r="H18" s="212">
        <v>95</v>
      </c>
      <c r="I18" s="212">
        <v>92</v>
      </c>
      <c r="J18" s="212">
        <v>99</v>
      </c>
      <c r="K18" s="212"/>
      <c r="L18" s="212"/>
    </row>
    <row r="19" spans="1:12">
      <c r="A19" s="211" t="s">
        <v>641</v>
      </c>
      <c r="B19" s="212">
        <v>0.83299999999999996</v>
      </c>
      <c r="C19" s="212">
        <v>0.83299999999999996</v>
      </c>
      <c r="D19" s="212">
        <v>0.72</v>
      </c>
      <c r="E19" s="212">
        <v>0.66</v>
      </c>
      <c r="F19" s="212">
        <v>0.66</v>
      </c>
      <c r="G19" s="218">
        <v>0.66</v>
      </c>
      <c r="H19" s="218">
        <v>1</v>
      </c>
      <c r="I19" s="218">
        <v>0.55000000000000004</v>
      </c>
      <c r="J19" s="218">
        <v>0.72</v>
      </c>
      <c r="K19" s="212"/>
      <c r="L19" s="212"/>
    </row>
    <row r="20" spans="1:12">
      <c r="A20" s="215" t="s">
        <v>642</v>
      </c>
      <c r="B20" s="212">
        <v>60</v>
      </c>
      <c r="C20" s="212">
        <v>60</v>
      </c>
      <c r="D20" s="212">
        <v>60</v>
      </c>
      <c r="E20" s="212">
        <v>70</v>
      </c>
      <c r="F20" s="212">
        <v>70</v>
      </c>
      <c r="G20" s="212">
        <v>50</v>
      </c>
      <c r="H20" s="212">
        <v>80</v>
      </c>
      <c r="I20" s="212">
        <v>50</v>
      </c>
      <c r="J20" s="212">
        <v>120</v>
      </c>
      <c r="K20" s="212" t="s">
        <v>643</v>
      </c>
      <c r="L20" s="216"/>
    </row>
    <row r="21" spans="1:12">
      <c r="A21" s="222" t="s">
        <v>644</v>
      </c>
      <c r="B21" s="237"/>
      <c r="C21" s="237"/>
      <c r="D21" s="237"/>
      <c r="E21" s="237"/>
      <c r="F21" s="237"/>
      <c r="G21" s="237"/>
      <c r="H21" s="237"/>
      <c r="I21" s="237"/>
      <c r="J21" s="237"/>
      <c r="K21" s="237"/>
      <c r="L21" s="237"/>
    </row>
    <row r="22" spans="1:12">
      <c r="A22" s="213" t="s">
        <v>645</v>
      </c>
      <c r="B22" s="218"/>
      <c r="C22" s="218"/>
      <c r="D22" s="218"/>
      <c r="E22" s="218"/>
      <c r="F22" s="218"/>
      <c r="G22" s="218"/>
      <c r="H22" s="218"/>
      <c r="I22" s="218"/>
      <c r="J22" s="218"/>
      <c r="K22" s="218"/>
      <c r="L22" s="218"/>
    </row>
    <row r="23" spans="1:12">
      <c r="A23" s="211" t="s">
        <v>646</v>
      </c>
      <c r="B23" s="212">
        <v>5</v>
      </c>
      <c r="C23" s="212">
        <v>5</v>
      </c>
      <c r="D23" s="212">
        <v>3</v>
      </c>
      <c r="E23" s="212">
        <v>3</v>
      </c>
      <c r="F23" s="212">
        <v>3</v>
      </c>
      <c r="G23" s="212">
        <v>3</v>
      </c>
      <c r="H23" s="212">
        <v>3</v>
      </c>
      <c r="I23" s="212">
        <v>3</v>
      </c>
      <c r="J23" s="212">
        <v>3</v>
      </c>
      <c r="K23" s="212"/>
      <c r="L23" s="212"/>
    </row>
    <row r="24" spans="1:12">
      <c r="A24" s="211" t="s">
        <v>647</v>
      </c>
      <c r="B24" s="212">
        <v>3</v>
      </c>
      <c r="C24" s="212">
        <v>3</v>
      </c>
      <c r="D24" s="212">
        <v>3</v>
      </c>
      <c r="E24" s="212">
        <v>2</v>
      </c>
      <c r="F24" s="212">
        <v>2</v>
      </c>
      <c r="G24" s="212">
        <v>2</v>
      </c>
      <c r="H24" s="212">
        <v>4</v>
      </c>
      <c r="I24" s="212">
        <v>2</v>
      </c>
      <c r="J24" s="212">
        <v>3</v>
      </c>
      <c r="K24" s="212"/>
      <c r="L24" s="212"/>
    </row>
    <row r="25" spans="1:12">
      <c r="A25" s="211" t="s">
        <v>648</v>
      </c>
      <c r="B25" s="212">
        <v>25</v>
      </c>
      <c r="C25" s="212">
        <v>25</v>
      </c>
      <c r="D25" s="212">
        <v>25</v>
      </c>
      <c r="E25" s="212">
        <v>25</v>
      </c>
      <c r="F25" s="212">
        <v>25</v>
      </c>
      <c r="G25" s="212">
        <v>25</v>
      </c>
      <c r="H25" s="212">
        <v>25</v>
      </c>
      <c r="I25" s="212">
        <v>25</v>
      </c>
      <c r="J25" s="212">
        <v>25</v>
      </c>
      <c r="K25" s="212"/>
      <c r="L25" s="212"/>
    </row>
    <row r="26" spans="1:12">
      <c r="A26" s="211" t="s">
        <v>649</v>
      </c>
      <c r="B26" s="212">
        <v>3</v>
      </c>
      <c r="C26" s="212">
        <v>3</v>
      </c>
      <c r="D26" s="212">
        <v>2.5</v>
      </c>
      <c r="E26" s="212">
        <v>2</v>
      </c>
      <c r="F26" s="212">
        <v>2</v>
      </c>
      <c r="G26" s="212">
        <v>2</v>
      </c>
      <c r="H26" s="212">
        <v>4</v>
      </c>
      <c r="I26" s="212">
        <v>2</v>
      </c>
      <c r="J26" s="212">
        <v>3</v>
      </c>
      <c r="K26" s="212"/>
      <c r="L26" s="212"/>
    </row>
    <row r="27" spans="1:12" ht="14.7" customHeight="1">
      <c r="A27" s="223" t="s">
        <v>650</v>
      </c>
      <c r="B27" s="223"/>
      <c r="C27" s="223"/>
      <c r="D27" s="223"/>
      <c r="E27" s="223"/>
      <c r="F27" s="223"/>
      <c r="G27" s="223"/>
      <c r="H27" s="223"/>
      <c r="I27" s="223"/>
      <c r="J27" s="223"/>
      <c r="K27" s="223"/>
      <c r="L27" s="223"/>
    </row>
    <row r="28" spans="1:12" ht="14.7" customHeight="1">
      <c r="A28" s="211" t="s">
        <v>651</v>
      </c>
      <c r="B28" s="224">
        <v>2.7</v>
      </c>
      <c r="C28" s="212">
        <v>2.5</v>
      </c>
      <c r="D28" s="212">
        <v>2.2999999999999998</v>
      </c>
      <c r="E28" s="212">
        <v>2</v>
      </c>
      <c r="F28" s="212">
        <v>1.6</v>
      </c>
      <c r="G28" s="212">
        <v>2.2000000000000002</v>
      </c>
      <c r="H28" s="212">
        <v>3.7</v>
      </c>
      <c r="I28" s="212">
        <v>1.2</v>
      </c>
      <c r="J28" s="212">
        <v>2.2000000000000002</v>
      </c>
      <c r="K28" s="212" t="s">
        <v>652</v>
      </c>
      <c r="L28" s="223"/>
    </row>
    <row r="29" spans="1:12" ht="14.7" customHeight="1">
      <c r="A29" s="215" t="s">
        <v>653</v>
      </c>
      <c r="B29" s="212">
        <v>50</v>
      </c>
      <c r="C29" s="212">
        <v>50</v>
      </c>
      <c r="D29" s="212">
        <v>50</v>
      </c>
      <c r="E29" s="212">
        <v>50</v>
      </c>
      <c r="F29" s="212">
        <v>50</v>
      </c>
      <c r="G29" s="223"/>
      <c r="H29" s="223"/>
      <c r="I29" s="223"/>
      <c r="J29" s="223"/>
      <c r="K29" s="212" t="s">
        <v>654</v>
      </c>
      <c r="L29" s="223"/>
    </row>
    <row r="30" spans="1:12">
      <c r="A30" s="211" t="s">
        <v>655</v>
      </c>
      <c r="B30" s="212">
        <v>10</v>
      </c>
      <c r="C30" s="212">
        <v>10</v>
      </c>
      <c r="D30" s="212">
        <v>10</v>
      </c>
      <c r="E30" s="212">
        <v>10</v>
      </c>
      <c r="F30" s="212">
        <v>10</v>
      </c>
      <c r="G30" s="212"/>
      <c r="H30" s="212"/>
      <c r="I30" s="212"/>
      <c r="J30" s="211"/>
      <c r="K30" s="212" t="s">
        <v>656</v>
      </c>
      <c r="L30" s="212"/>
    </row>
    <row r="31" spans="1:12">
      <c r="A31" s="225" t="s">
        <v>657</v>
      </c>
      <c r="B31" s="212">
        <v>10</v>
      </c>
      <c r="C31" s="212">
        <v>10</v>
      </c>
      <c r="D31" s="212">
        <v>10</v>
      </c>
      <c r="E31" s="212">
        <v>10</v>
      </c>
      <c r="F31" s="212">
        <v>10</v>
      </c>
      <c r="G31" s="212"/>
      <c r="H31" s="212"/>
      <c r="I31" s="212"/>
      <c r="J31" s="215"/>
      <c r="K31" s="212"/>
      <c r="L31" s="212"/>
    </row>
    <row r="32" spans="1:12">
      <c r="A32" s="211" t="s">
        <v>658</v>
      </c>
      <c r="B32" s="212">
        <v>15</v>
      </c>
      <c r="C32" s="212">
        <v>15</v>
      </c>
      <c r="D32" s="212">
        <v>15</v>
      </c>
      <c r="E32" s="212">
        <v>15</v>
      </c>
      <c r="F32" s="212">
        <v>15</v>
      </c>
      <c r="G32" s="212"/>
      <c r="H32" s="212"/>
      <c r="I32" s="212"/>
      <c r="J32" s="215"/>
      <c r="K32" s="212" t="s">
        <v>659</v>
      </c>
      <c r="L32" s="212"/>
    </row>
    <row r="33" spans="1:12">
      <c r="A33" s="211" t="s">
        <v>660</v>
      </c>
      <c r="B33" s="212">
        <v>15</v>
      </c>
      <c r="C33" s="212">
        <v>15</v>
      </c>
      <c r="D33" s="212">
        <v>15</v>
      </c>
      <c r="E33" s="212">
        <v>15</v>
      </c>
      <c r="F33" s="212">
        <v>15</v>
      </c>
      <c r="G33" s="212"/>
      <c r="H33" s="212"/>
      <c r="I33" s="212"/>
      <c r="J33" s="211"/>
      <c r="K33" s="212"/>
      <c r="L33" s="212"/>
    </row>
    <row r="34" spans="1:12">
      <c r="A34" s="222" t="s">
        <v>661</v>
      </c>
      <c r="B34" s="218">
        <f>B28*0.03</f>
        <v>8.1000000000000003E-2</v>
      </c>
      <c r="C34" s="218">
        <f>C28*0.03</f>
        <v>7.4999999999999997E-2</v>
      </c>
      <c r="D34" s="218">
        <f>D28*0.03</f>
        <v>6.8999999999999992E-2</v>
      </c>
      <c r="E34" s="218">
        <f>E28*0.03</f>
        <v>0.06</v>
      </c>
      <c r="F34" s="218">
        <f>F28*0.03</f>
        <v>4.8000000000000001E-2</v>
      </c>
      <c r="G34" s="218">
        <f t="shared" ref="G34:J34" si="0">G28*0.03</f>
        <v>6.6000000000000003E-2</v>
      </c>
      <c r="H34" s="218">
        <f t="shared" si="0"/>
        <v>0.111</v>
      </c>
      <c r="I34" s="218">
        <f t="shared" si="0"/>
        <v>3.5999999999999997E-2</v>
      </c>
      <c r="J34" s="218">
        <f t="shared" si="0"/>
        <v>6.6000000000000003E-2</v>
      </c>
      <c r="K34" s="212" t="s">
        <v>662</v>
      </c>
      <c r="L34" s="218"/>
    </row>
    <row r="35" spans="1:12">
      <c r="A35" s="215" t="s">
        <v>663</v>
      </c>
      <c r="B35" s="212">
        <v>2.5</v>
      </c>
      <c r="C35" s="212">
        <v>2.5</v>
      </c>
      <c r="D35" s="212">
        <v>2.5</v>
      </c>
      <c r="E35" s="212">
        <v>2.5</v>
      </c>
      <c r="F35" s="212">
        <v>2.5</v>
      </c>
      <c r="G35" s="218">
        <v>1.5</v>
      </c>
      <c r="H35" s="218">
        <v>3.5</v>
      </c>
      <c r="I35" s="218">
        <v>1.5</v>
      </c>
      <c r="J35" s="218">
        <v>3.5</v>
      </c>
      <c r="K35" s="212"/>
      <c r="L35" s="218"/>
    </row>
    <row r="36" spans="1:12">
      <c r="A36" s="221" t="s">
        <v>664</v>
      </c>
      <c r="B36" s="212">
        <v>25</v>
      </c>
      <c r="C36" s="212">
        <v>25</v>
      </c>
      <c r="D36" s="212">
        <v>25</v>
      </c>
      <c r="E36" s="212">
        <v>25</v>
      </c>
      <c r="F36" s="212">
        <v>25</v>
      </c>
      <c r="G36" s="212"/>
      <c r="H36" s="212"/>
      <c r="I36" s="212"/>
      <c r="J36" s="215"/>
      <c r="K36" s="226"/>
      <c r="L36" s="212"/>
    </row>
    <row r="37" spans="1:12">
      <c r="A37" s="210" t="s">
        <v>665</v>
      </c>
      <c r="B37" s="227"/>
      <c r="C37" s="227"/>
      <c r="D37" s="227"/>
      <c r="E37" s="227"/>
      <c r="F37" s="227"/>
      <c r="G37" s="227"/>
      <c r="H37" s="227"/>
      <c r="I37" s="227"/>
      <c r="J37" s="227"/>
      <c r="K37" s="227"/>
      <c r="L37" s="228"/>
    </row>
    <row r="38" spans="1:12" ht="20.399999999999999">
      <c r="A38" s="215" t="s">
        <v>666</v>
      </c>
      <c r="B38" s="229">
        <v>0.1</v>
      </c>
      <c r="C38" s="229">
        <v>0.1</v>
      </c>
      <c r="D38" s="212">
        <v>8.5000000000000006E-2</v>
      </c>
      <c r="E38" s="212">
        <v>7.4999999999999997E-2</v>
      </c>
      <c r="F38" s="212">
        <v>7.4999999999999997E-2</v>
      </c>
      <c r="G38" s="212">
        <v>0.09</v>
      </c>
      <c r="H38" s="212">
        <v>0.11</v>
      </c>
      <c r="I38" s="212">
        <v>7.0000000000000007E-2</v>
      </c>
      <c r="J38" s="216">
        <v>0.09</v>
      </c>
      <c r="K38" s="212" t="s">
        <v>667</v>
      </c>
      <c r="L38" s="212"/>
    </row>
    <row r="39" spans="1:12" ht="20.399999999999999">
      <c r="A39" s="215" t="s">
        <v>668</v>
      </c>
      <c r="B39" s="212">
        <v>0.16</v>
      </c>
      <c r="C39" s="212">
        <v>0.16</v>
      </c>
      <c r="D39" s="212">
        <v>0.14000000000000001</v>
      </c>
      <c r="E39" s="212">
        <v>0.13</v>
      </c>
      <c r="F39" s="212">
        <v>0.13</v>
      </c>
      <c r="G39" s="212">
        <v>0.14000000000000001</v>
      </c>
      <c r="H39" s="212">
        <v>0.18</v>
      </c>
      <c r="I39" s="212">
        <v>0.12</v>
      </c>
      <c r="J39" s="216">
        <v>0.15</v>
      </c>
      <c r="K39" s="212" t="s">
        <v>667</v>
      </c>
      <c r="L39" s="212"/>
    </row>
    <row r="40" spans="1:12">
      <c r="A40" s="215"/>
      <c r="B40" s="212"/>
      <c r="C40" s="212"/>
      <c r="D40" s="212"/>
      <c r="E40" s="212"/>
      <c r="F40" s="215"/>
      <c r="G40" s="212"/>
      <c r="H40" s="212"/>
      <c r="I40" s="212"/>
      <c r="J40" s="215"/>
      <c r="K40" s="212"/>
      <c r="L40" s="212"/>
    </row>
    <row r="41" spans="1:12">
      <c r="A41" s="211"/>
      <c r="B41" s="212"/>
      <c r="C41" s="212"/>
      <c r="D41" s="212"/>
      <c r="E41" s="212"/>
      <c r="F41" s="211"/>
      <c r="G41" s="212"/>
      <c r="H41" s="212"/>
      <c r="I41" s="212"/>
      <c r="J41" s="211"/>
      <c r="K41" s="212"/>
      <c r="L41" s="212"/>
    </row>
    <row r="42" spans="1:12">
      <c r="A42" s="230"/>
    </row>
    <row r="43" spans="1:12">
      <c r="A43" s="231" t="s">
        <v>669</v>
      </c>
    </row>
    <row r="44" spans="1:12">
      <c r="A44" s="199">
        <v>1</v>
      </c>
    </row>
    <row r="45" spans="1:12">
      <c r="A45" s="199">
        <v>2</v>
      </c>
    </row>
    <row r="46" spans="1:12">
      <c r="A46" s="199">
        <v>3</v>
      </c>
    </row>
    <row r="49" spans="1:2">
      <c r="A49" s="235" t="s">
        <v>670</v>
      </c>
    </row>
    <row r="50" spans="1:2">
      <c r="A50" s="236" t="s">
        <v>622</v>
      </c>
      <c r="B50" s="199" t="s">
        <v>690</v>
      </c>
    </row>
    <row r="51" spans="1:2">
      <c r="A51" s="236" t="s">
        <v>627</v>
      </c>
      <c r="B51" s="199" t="s">
        <v>672</v>
      </c>
    </row>
    <row r="52" spans="1:2">
      <c r="A52" s="236" t="s">
        <v>629</v>
      </c>
      <c r="B52" s="199" t="s">
        <v>673</v>
      </c>
    </row>
    <row r="53" spans="1:2">
      <c r="A53" s="236" t="s">
        <v>631</v>
      </c>
      <c r="B53" s="199" t="s">
        <v>674</v>
      </c>
    </row>
    <row r="54" spans="1:2">
      <c r="A54" s="236" t="s">
        <v>636</v>
      </c>
      <c r="B54" s="199" t="s">
        <v>675</v>
      </c>
    </row>
    <row r="55" spans="1:2">
      <c r="A55" s="236" t="s">
        <v>638</v>
      </c>
      <c r="B55" s="199" t="s">
        <v>676</v>
      </c>
    </row>
    <row r="56" spans="1:2">
      <c r="A56" s="236" t="s">
        <v>640</v>
      </c>
      <c r="B56" s="199" t="s">
        <v>677</v>
      </c>
    </row>
    <row r="57" spans="1:2">
      <c r="A57" s="236" t="s">
        <v>643</v>
      </c>
      <c r="B57" s="199" t="s">
        <v>678</v>
      </c>
    </row>
    <row r="58" spans="1:2">
      <c r="A58" s="236" t="s">
        <v>652</v>
      </c>
      <c r="B58" s="199" t="s">
        <v>691</v>
      </c>
    </row>
    <row r="59" spans="1:2">
      <c r="A59" s="236" t="s">
        <v>654</v>
      </c>
      <c r="B59" s="199" t="s">
        <v>680</v>
      </c>
    </row>
    <row r="60" spans="1:2">
      <c r="A60" s="236" t="s">
        <v>656</v>
      </c>
      <c r="B60" s="199" t="s">
        <v>681</v>
      </c>
    </row>
    <row r="61" spans="1:2">
      <c r="A61" s="236" t="s">
        <v>659</v>
      </c>
      <c r="B61" s="199" t="s">
        <v>682</v>
      </c>
    </row>
    <row r="62" spans="1:2">
      <c r="A62" s="236" t="s">
        <v>662</v>
      </c>
      <c r="B62" s="199" t="s">
        <v>683</v>
      </c>
    </row>
    <row r="63" spans="1:2">
      <c r="A63" s="236" t="s">
        <v>667</v>
      </c>
      <c r="B63" s="199" t="s">
        <v>684</v>
      </c>
    </row>
  </sheetData>
  <mergeCells count="3">
    <mergeCell ref="B2:L2"/>
    <mergeCell ref="G3:H3"/>
    <mergeCell ref="I3:J3"/>
  </mergeCells>
  <hyperlinks>
    <hyperlink ref="B2" location="INDEX" display="Post-combustion carbon capture retrofit - 500 MW(th) biomass-fired boiler" xr:uid="{0FC6BC4D-8AFE-463E-884F-6280819A999F}"/>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9D756-D31D-461F-8B72-DAC6E9A9FF6F}">
  <sheetPr>
    <tabColor theme="5" tint="0.59999389629810485"/>
  </sheetPr>
  <dimension ref="A1:S62"/>
  <sheetViews>
    <sheetView zoomScale="110" zoomScaleNormal="110" workbookViewId="0">
      <selection activeCell="O14" sqref="O14"/>
    </sheetView>
  </sheetViews>
  <sheetFormatPr defaultColWidth="8.6640625" defaultRowHeight="14.4"/>
  <cols>
    <col min="1" max="1" width="40.6640625" style="199" customWidth="1"/>
    <col min="2" max="10" width="8.5546875" style="199" customWidth="1"/>
    <col min="11" max="12" width="6.33203125" style="199" customWidth="1"/>
    <col min="13" max="14" width="8.6640625" style="199"/>
    <col min="15" max="15" width="11.33203125" style="199" bestFit="1" customWidth="1"/>
    <col min="16" max="16384" width="8.6640625" style="199"/>
  </cols>
  <sheetData>
    <row r="1" spans="1:19" s="91" customFormat="1"/>
    <row r="2" spans="1:19" ht="15.75" customHeight="1">
      <c r="A2" s="198" t="s">
        <v>613</v>
      </c>
      <c r="B2" s="415" t="s">
        <v>692</v>
      </c>
      <c r="C2" s="416"/>
      <c r="D2" s="416"/>
      <c r="E2" s="416"/>
      <c r="F2" s="416"/>
      <c r="G2" s="416"/>
      <c r="H2" s="416"/>
      <c r="I2" s="416"/>
      <c r="J2" s="416"/>
      <c r="K2" s="416"/>
      <c r="L2" s="417"/>
    </row>
    <row r="3" spans="1:19" ht="15.75" customHeight="1">
      <c r="A3" s="200"/>
      <c r="B3" s="201">
        <v>2020</v>
      </c>
      <c r="C3" s="201">
        <v>2025</v>
      </c>
      <c r="D3" s="202">
        <v>2030</v>
      </c>
      <c r="E3" s="202">
        <v>2040</v>
      </c>
      <c r="F3" s="203">
        <v>2050</v>
      </c>
      <c r="G3" s="418" t="s">
        <v>615</v>
      </c>
      <c r="H3" s="419"/>
      <c r="I3" s="418" t="s">
        <v>616</v>
      </c>
      <c r="J3" s="419"/>
      <c r="K3" s="202" t="s">
        <v>454</v>
      </c>
      <c r="L3" s="204" t="s">
        <v>617</v>
      </c>
    </row>
    <row r="4" spans="1:19">
      <c r="A4" s="200"/>
      <c r="B4" s="205"/>
      <c r="C4" s="206"/>
      <c r="D4" s="207"/>
      <c r="E4" s="207"/>
      <c r="F4" s="207"/>
      <c r="G4" s="208" t="s">
        <v>618</v>
      </c>
      <c r="H4" s="208" t="s">
        <v>619</v>
      </c>
      <c r="I4" s="208" t="s">
        <v>618</v>
      </c>
      <c r="J4" s="208" t="s">
        <v>619</v>
      </c>
      <c r="K4" s="207"/>
      <c r="L4" s="209"/>
    </row>
    <row r="5" spans="1:19">
      <c r="A5" s="210" t="s">
        <v>620</v>
      </c>
      <c r="B5" s="207"/>
      <c r="C5" s="207"/>
      <c r="D5" s="207"/>
      <c r="E5" s="207"/>
      <c r="F5" s="207"/>
      <c r="G5" s="207"/>
      <c r="H5" s="207"/>
      <c r="I5" s="207"/>
      <c r="J5" s="207"/>
      <c r="K5" s="207"/>
      <c r="L5" s="209"/>
    </row>
    <row r="6" spans="1:19">
      <c r="A6" s="211" t="s">
        <v>621</v>
      </c>
      <c r="B6" s="212">
        <v>152</v>
      </c>
      <c r="C6" s="212">
        <v>152</v>
      </c>
      <c r="D6" s="212">
        <v>152</v>
      </c>
      <c r="E6" s="212">
        <v>160</v>
      </c>
      <c r="F6" s="212">
        <v>160</v>
      </c>
      <c r="G6" s="212">
        <v>144</v>
      </c>
      <c r="H6" s="212">
        <v>160</v>
      </c>
      <c r="I6" s="212">
        <v>155</v>
      </c>
      <c r="J6" s="212">
        <v>167</v>
      </c>
      <c r="K6" s="212" t="s">
        <v>622</v>
      </c>
      <c r="L6" s="212"/>
    </row>
    <row r="7" spans="1:19">
      <c r="A7" s="213" t="s">
        <v>623</v>
      </c>
      <c r="B7" s="214"/>
      <c r="C7" s="214"/>
      <c r="D7" s="214"/>
      <c r="E7" s="214"/>
      <c r="F7" s="214"/>
      <c r="G7" s="214"/>
      <c r="H7" s="214"/>
      <c r="I7" s="214"/>
      <c r="J7" s="214"/>
      <c r="K7" s="214"/>
      <c r="L7" s="214"/>
    </row>
    <row r="8" spans="1:19">
      <c r="A8" s="211" t="s">
        <v>624</v>
      </c>
      <c r="B8" s="212">
        <v>5.0999999999999996</v>
      </c>
      <c r="C8" s="212">
        <v>5.0999999999999996</v>
      </c>
      <c r="D8" s="212">
        <v>5.0999999999999996</v>
      </c>
      <c r="E8" s="212">
        <v>4.8</v>
      </c>
      <c r="F8" s="212">
        <v>4.8</v>
      </c>
      <c r="G8" s="212">
        <v>4</v>
      </c>
      <c r="H8" s="212">
        <v>6.5</v>
      </c>
      <c r="I8" s="212">
        <v>4</v>
      </c>
      <c r="J8" s="212">
        <v>6.5</v>
      </c>
      <c r="K8" s="212"/>
      <c r="L8" s="212"/>
    </row>
    <row r="9" spans="1:19">
      <c r="A9" s="215" t="s">
        <v>625</v>
      </c>
      <c r="B9" s="216">
        <v>20</v>
      </c>
      <c r="C9" s="216">
        <v>20</v>
      </c>
      <c r="D9" s="216">
        <v>20</v>
      </c>
      <c r="E9" s="216">
        <v>20</v>
      </c>
      <c r="F9" s="216">
        <v>20</v>
      </c>
      <c r="G9" s="216">
        <v>15</v>
      </c>
      <c r="H9" s="216">
        <v>30</v>
      </c>
      <c r="I9" s="216">
        <v>15</v>
      </c>
      <c r="J9" s="216">
        <v>30</v>
      </c>
      <c r="K9" s="216"/>
      <c r="L9" s="216"/>
    </row>
    <row r="10" spans="1:19">
      <c r="A10" s="215" t="s">
        <v>686</v>
      </c>
      <c r="B10" s="212">
        <v>125</v>
      </c>
      <c r="C10" s="212">
        <v>125</v>
      </c>
      <c r="D10" s="212">
        <v>125</v>
      </c>
      <c r="E10" s="212">
        <v>125</v>
      </c>
      <c r="F10" s="212">
        <v>125</v>
      </c>
      <c r="G10" s="212">
        <v>80</v>
      </c>
      <c r="H10" s="212">
        <v>200</v>
      </c>
      <c r="I10" s="212">
        <v>80</v>
      </c>
      <c r="J10" s="212">
        <v>200</v>
      </c>
      <c r="K10" s="212" t="s">
        <v>627</v>
      </c>
      <c r="L10" s="212"/>
      <c r="N10" s="199" t="s">
        <v>378</v>
      </c>
      <c r="O10" s="199">
        <v>2020</v>
      </c>
      <c r="P10" s="199">
        <v>2025</v>
      </c>
      <c r="Q10" s="199">
        <v>2030</v>
      </c>
      <c r="R10" s="199">
        <v>2040</v>
      </c>
      <c r="S10" s="199">
        <v>2050</v>
      </c>
    </row>
    <row r="11" spans="1:19">
      <c r="A11" s="217" t="s">
        <v>628</v>
      </c>
      <c r="B11" s="212">
        <v>0.83299999999999996</v>
      </c>
      <c r="C11" s="212">
        <v>0.83299999999999996</v>
      </c>
      <c r="D11" s="212">
        <v>0.72</v>
      </c>
      <c r="E11" s="212">
        <v>0.66</v>
      </c>
      <c r="F11" s="212">
        <v>0.66</v>
      </c>
      <c r="G11" s="218">
        <v>0.66</v>
      </c>
      <c r="H11" s="218">
        <v>1</v>
      </c>
      <c r="I11" s="218">
        <v>0.55000000000000004</v>
      </c>
      <c r="J11" s="218">
        <v>0.72</v>
      </c>
      <c r="K11" s="218" t="s">
        <v>629</v>
      </c>
      <c r="L11" s="218"/>
      <c r="N11" s="199" t="s">
        <v>1029</v>
      </c>
      <c r="O11" s="263">
        <f>-1*PMT(0.04,B25,B28*7.45)/8760*0.95*1000000</f>
        <v>155.15228308942895</v>
      </c>
      <c r="P11" s="263">
        <f>-1*PMT(0.04,C25,C28*7.45)/8760*0.95*1000000</f>
        <v>144.80879755013365</v>
      </c>
      <c r="Q11" s="263">
        <f>-1*PMT(0.04,D25,D28*7.45)/8760*0.95*1000000</f>
        <v>134.4653120108384</v>
      </c>
      <c r="R11" s="263">
        <f>-1*PMT(0.04,E25,E28*7.45)/8760*0.95*1000000</f>
        <v>113.77834093224787</v>
      </c>
      <c r="S11" s="263">
        <f>-1*PMT(0.04,F25,F28*7.45)/8760*0.95*1000000</f>
        <v>93.091369853657355</v>
      </c>
    </row>
    <row r="12" spans="1:19">
      <c r="A12" s="219" t="s">
        <v>630</v>
      </c>
      <c r="B12" s="216">
        <v>2.5000000000000001E-2</v>
      </c>
      <c r="C12" s="216">
        <v>2.5000000000000001E-2</v>
      </c>
      <c r="D12" s="216">
        <v>2.1999999999999999E-2</v>
      </c>
      <c r="E12" s="216">
        <v>0.02</v>
      </c>
      <c r="F12" s="216">
        <v>1.7999999999999999E-2</v>
      </c>
      <c r="G12" s="216">
        <v>0.02</v>
      </c>
      <c r="H12" s="216">
        <v>0.03</v>
      </c>
      <c r="I12" s="216">
        <v>1.4999999999999999E-2</v>
      </c>
      <c r="J12" s="216">
        <v>2.1000000000000001E-2</v>
      </c>
      <c r="K12" s="216" t="s">
        <v>631</v>
      </c>
      <c r="L12" s="216"/>
      <c r="N12" s="199" t="s">
        <v>1040</v>
      </c>
      <c r="O12" s="263">
        <f>B34*1000000/8760*0.95*7.45</f>
        <v>72.714041095890408</v>
      </c>
      <c r="P12" s="263">
        <f>C34*1000000/8760*0.95*7.45</f>
        <v>67.866438356164366</v>
      </c>
      <c r="Q12" s="263">
        <f>D34*1000000/8760*0.95*7.45</f>
        <v>63.018835616438352</v>
      </c>
      <c r="R12" s="263">
        <f>E34*1000000/8760*0.95*7.45</f>
        <v>53.323630136986303</v>
      </c>
      <c r="S12" s="263">
        <f>F34*1000000/8760*0.95*7.45</f>
        <v>43.628424657534246</v>
      </c>
    </row>
    <row r="13" spans="1:19">
      <c r="A13" s="217" t="s">
        <v>632</v>
      </c>
      <c r="B13" s="218">
        <v>0.3</v>
      </c>
      <c r="C13" s="218">
        <v>0.3</v>
      </c>
      <c r="D13" s="218">
        <v>0.2</v>
      </c>
      <c r="E13" s="218">
        <v>0.15</v>
      </c>
      <c r="F13" s="218">
        <v>0.1</v>
      </c>
      <c r="G13" s="218">
        <v>0.15</v>
      </c>
      <c r="H13" s="218">
        <v>1.5</v>
      </c>
      <c r="I13" s="218">
        <v>0.05</v>
      </c>
      <c r="J13" s="218">
        <v>0.3</v>
      </c>
      <c r="K13" s="218"/>
      <c r="L13" s="218"/>
      <c r="N13" s="199" t="s">
        <v>1041</v>
      </c>
      <c r="O13" s="263">
        <f>B35*7.45</f>
        <v>18.625</v>
      </c>
      <c r="P13" s="263">
        <f>C35*7.45</f>
        <v>18.625</v>
      </c>
      <c r="Q13" s="263">
        <f>D35*7.45</f>
        <v>18.625</v>
      </c>
      <c r="R13" s="263">
        <f>E35*7.45</f>
        <v>18.625</v>
      </c>
      <c r="S13" s="263">
        <f>F35*7.45</f>
        <v>18.625</v>
      </c>
    </row>
    <row r="14" spans="1:19">
      <c r="A14" s="211" t="s">
        <v>633</v>
      </c>
      <c r="B14" s="212"/>
      <c r="C14" s="212"/>
      <c r="D14" s="212"/>
      <c r="E14" s="212"/>
      <c r="F14" s="212"/>
      <c r="G14" s="212"/>
      <c r="H14" s="212"/>
      <c r="I14" s="212"/>
      <c r="J14" s="212"/>
      <c r="K14" s="212"/>
      <c r="L14" s="212"/>
      <c r="N14" s="199" t="s">
        <v>1042</v>
      </c>
      <c r="O14" s="199">
        <f>B11*400</f>
        <v>333.2</v>
      </c>
      <c r="P14" s="199">
        <f>C11*400</f>
        <v>333.2</v>
      </c>
      <c r="Q14" s="199">
        <f>D11*400</f>
        <v>288</v>
      </c>
      <c r="R14" s="199">
        <f>E11*400</f>
        <v>264</v>
      </c>
      <c r="S14" s="199">
        <f>F11*400</f>
        <v>264</v>
      </c>
    </row>
    <row r="15" spans="1:19">
      <c r="A15" s="213" t="s">
        <v>634</v>
      </c>
      <c r="B15" s="214"/>
      <c r="C15" s="214"/>
      <c r="D15" s="214"/>
      <c r="E15" s="214"/>
      <c r="F15" s="214"/>
      <c r="G15" s="214"/>
      <c r="H15" s="214"/>
      <c r="I15" s="214"/>
      <c r="J15" s="214"/>
      <c r="K15" s="214"/>
      <c r="L15" s="214"/>
      <c r="N15" s="199" t="s">
        <v>17</v>
      </c>
      <c r="O15" s="199">
        <f>B12*500</f>
        <v>12.5</v>
      </c>
      <c r="P15" s="199">
        <f>C12*500</f>
        <v>12.5</v>
      </c>
      <c r="Q15" s="199">
        <f>D12*500</f>
        <v>11</v>
      </c>
      <c r="R15" s="199">
        <f>E12*500</f>
        <v>10</v>
      </c>
      <c r="S15" s="199">
        <f>F12*500</f>
        <v>9</v>
      </c>
    </row>
    <row r="16" spans="1:19">
      <c r="A16" s="221" t="s">
        <v>635</v>
      </c>
      <c r="B16" s="212">
        <v>97</v>
      </c>
      <c r="C16" s="212">
        <v>97</v>
      </c>
      <c r="D16" s="212">
        <v>98</v>
      </c>
      <c r="E16" s="212">
        <v>99</v>
      </c>
      <c r="F16" s="212">
        <v>99</v>
      </c>
      <c r="G16" s="212">
        <v>96</v>
      </c>
      <c r="H16" s="212">
        <v>98</v>
      </c>
      <c r="I16" s="212">
        <v>98</v>
      </c>
      <c r="J16" s="212">
        <v>99</v>
      </c>
      <c r="K16" s="212" t="s">
        <v>636</v>
      </c>
      <c r="L16" s="212"/>
      <c r="O16" s="263">
        <f>SUM(O11:O15)</f>
        <v>592.19132418531933</v>
      </c>
      <c r="P16" s="263">
        <f>SUM(P11:P15)</f>
        <v>577.00023590629803</v>
      </c>
      <c r="Q16" s="263">
        <f>SUM(Q11:Q15)</f>
        <v>515.1091476272768</v>
      </c>
      <c r="R16" s="263">
        <f>SUM(R11:R15)</f>
        <v>459.7269710692342</v>
      </c>
      <c r="S16" s="263">
        <f>SUM(S11:S15)</f>
        <v>428.34479451119159</v>
      </c>
    </row>
    <row r="17" spans="1:19">
      <c r="A17" s="221" t="s">
        <v>637</v>
      </c>
      <c r="B17" s="212">
        <v>160</v>
      </c>
      <c r="C17" s="212">
        <v>160</v>
      </c>
      <c r="D17" s="212">
        <v>300</v>
      </c>
      <c r="E17" s="212">
        <v>400</v>
      </c>
      <c r="F17" s="212">
        <v>400</v>
      </c>
      <c r="G17" s="212">
        <v>120</v>
      </c>
      <c r="H17" s="212">
        <v>300</v>
      </c>
      <c r="I17" s="212">
        <v>300</v>
      </c>
      <c r="J17" s="212">
        <v>600</v>
      </c>
      <c r="K17" s="212" t="s">
        <v>638</v>
      </c>
      <c r="L17" s="212"/>
      <c r="O17" s="199">
        <f>O16/0.9</f>
        <v>657.99036020591041</v>
      </c>
      <c r="P17" s="199">
        <f>P16/0.9</f>
        <v>641.11137322922002</v>
      </c>
      <c r="Q17" s="199">
        <f>Q16/0.9</f>
        <v>572.34349736364084</v>
      </c>
      <c r="R17" s="199">
        <f>R16/0.9</f>
        <v>510.80774563248241</v>
      </c>
      <c r="S17" s="199">
        <f>S16/0.9</f>
        <v>475.93866056799067</v>
      </c>
    </row>
    <row r="18" spans="1:19">
      <c r="A18" s="211" t="s">
        <v>639</v>
      </c>
      <c r="B18" s="212">
        <v>90</v>
      </c>
      <c r="C18" s="212">
        <v>90</v>
      </c>
      <c r="D18" s="212">
        <v>90</v>
      </c>
      <c r="E18" s="212">
        <v>95</v>
      </c>
      <c r="F18" s="212">
        <v>95</v>
      </c>
      <c r="G18" s="212">
        <v>85</v>
      </c>
      <c r="H18" s="212">
        <v>95</v>
      </c>
      <c r="I18" s="212">
        <v>92</v>
      </c>
      <c r="J18" s="212">
        <v>99</v>
      </c>
      <c r="K18" s="212"/>
      <c r="L18" s="212"/>
    </row>
    <row r="19" spans="1:19">
      <c r="A19" s="211" t="s">
        <v>641</v>
      </c>
      <c r="B19" s="212">
        <v>1.65</v>
      </c>
      <c r="C19" s="212">
        <v>1.65</v>
      </c>
      <c r="D19" s="212">
        <v>1.54</v>
      </c>
      <c r="E19" s="212">
        <v>1.48</v>
      </c>
      <c r="F19" s="212">
        <v>1.48</v>
      </c>
      <c r="G19" s="218">
        <v>1.48</v>
      </c>
      <c r="H19" s="218">
        <v>1.8</v>
      </c>
      <c r="I19" s="218">
        <v>1.3</v>
      </c>
      <c r="J19" s="218">
        <v>1.55</v>
      </c>
      <c r="K19" s="212"/>
      <c r="L19" s="212"/>
    </row>
    <row r="20" spans="1:19">
      <c r="A20" s="215" t="s">
        <v>642</v>
      </c>
      <c r="B20" s="212">
        <v>60</v>
      </c>
      <c r="C20" s="212">
        <v>60</v>
      </c>
      <c r="D20" s="212">
        <v>60</v>
      </c>
      <c r="E20" s="212">
        <v>70</v>
      </c>
      <c r="F20" s="212">
        <v>70</v>
      </c>
      <c r="G20" s="212">
        <v>50</v>
      </c>
      <c r="H20" s="212">
        <v>80</v>
      </c>
      <c r="I20" s="212">
        <v>50</v>
      </c>
      <c r="J20" s="212">
        <v>120</v>
      </c>
      <c r="K20" s="212" t="s">
        <v>643</v>
      </c>
      <c r="L20" s="216"/>
    </row>
    <row r="21" spans="1:19">
      <c r="A21" s="222" t="s">
        <v>693</v>
      </c>
      <c r="B21" s="238">
        <v>1</v>
      </c>
      <c r="C21" s="238">
        <v>1</v>
      </c>
      <c r="D21" s="238">
        <v>1</v>
      </c>
      <c r="E21" s="238">
        <v>1</v>
      </c>
      <c r="F21" s="238">
        <v>1</v>
      </c>
      <c r="G21" s="238">
        <v>1</v>
      </c>
      <c r="H21" s="238">
        <v>1</v>
      </c>
      <c r="I21" s="238">
        <v>1</v>
      </c>
      <c r="J21" s="238">
        <v>1</v>
      </c>
      <c r="K21" s="212" t="s">
        <v>652</v>
      </c>
      <c r="L21" s="237"/>
    </row>
    <row r="22" spans="1:19">
      <c r="A22" s="213" t="s">
        <v>645</v>
      </c>
      <c r="B22" s="218"/>
      <c r="C22" s="218"/>
      <c r="D22" s="218"/>
      <c r="E22" s="218"/>
      <c r="F22" s="218"/>
      <c r="G22" s="218"/>
      <c r="H22" s="218"/>
      <c r="I22" s="218"/>
      <c r="J22" s="218"/>
      <c r="K22" s="218"/>
      <c r="L22" s="218"/>
    </row>
    <row r="23" spans="1:19">
      <c r="A23" s="211" t="s">
        <v>646</v>
      </c>
      <c r="B23" s="212">
        <v>5</v>
      </c>
      <c r="C23" s="212">
        <v>5</v>
      </c>
      <c r="D23" s="212">
        <v>3</v>
      </c>
      <c r="E23" s="212">
        <v>3</v>
      </c>
      <c r="F23" s="212">
        <v>3</v>
      </c>
      <c r="G23" s="212">
        <v>3</v>
      </c>
      <c r="H23" s="212">
        <v>3</v>
      </c>
      <c r="I23" s="212">
        <v>3</v>
      </c>
      <c r="J23" s="212">
        <v>3</v>
      </c>
      <c r="K23" s="212"/>
      <c r="L23" s="212"/>
    </row>
    <row r="24" spans="1:19">
      <c r="A24" s="211" t="s">
        <v>647</v>
      </c>
      <c r="B24" s="212">
        <v>3</v>
      </c>
      <c r="C24" s="212">
        <v>3</v>
      </c>
      <c r="D24" s="212">
        <v>3</v>
      </c>
      <c r="E24" s="212">
        <v>2</v>
      </c>
      <c r="F24" s="212">
        <v>2</v>
      </c>
      <c r="G24" s="212">
        <v>2</v>
      </c>
      <c r="H24" s="212">
        <v>4</v>
      </c>
      <c r="I24" s="212">
        <v>2</v>
      </c>
      <c r="J24" s="212">
        <v>3</v>
      </c>
      <c r="K24" s="212"/>
      <c r="L24" s="212"/>
    </row>
    <row r="25" spans="1:19">
      <c r="A25" s="211" t="s">
        <v>648</v>
      </c>
      <c r="B25" s="212">
        <v>25</v>
      </c>
      <c r="C25" s="212">
        <v>25</v>
      </c>
      <c r="D25" s="212">
        <v>25</v>
      </c>
      <c r="E25" s="212">
        <v>25</v>
      </c>
      <c r="F25" s="212">
        <v>25</v>
      </c>
      <c r="G25" s="212">
        <v>25</v>
      </c>
      <c r="H25" s="212">
        <v>25</v>
      </c>
      <c r="I25" s="212">
        <v>25</v>
      </c>
      <c r="J25" s="212">
        <v>25</v>
      </c>
      <c r="K25" s="212"/>
      <c r="L25" s="212"/>
    </row>
    <row r="26" spans="1:19">
      <c r="A26" s="211" t="s">
        <v>649</v>
      </c>
      <c r="B26" s="212">
        <v>3</v>
      </c>
      <c r="C26" s="212">
        <v>3</v>
      </c>
      <c r="D26" s="212">
        <v>2.5</v>
      </c>
      <c r="E26" s="212">
        <v>2.5</v>
      </c>
      <c r="F26" s="212">
        <v>2.5</v>
      </c>
      <c r="G26" s="212">
        <v>2.5</v>
      </c>
      <c r="H26" s="212">
        <v>4</v>
      </c>
      <c r="I26" s="212">
        <v>2</v>
      </c>
      <c r="J26" s="212">
        <v>3.5</v>
      </c>
      <c r="K26" s="212"/>
      <c r="L26" s="212"/>
      <c r="O26" s="239"/>
    </row>
    <row r="27" spans="1:19" ht="14.7" customHeight="1">
      <c r="A27" s="223" t="s">
        <v>650</v>
      </c>
      <c r="B27" s="223"/>
      <c r="C27" s="223"/>
      <c r="D27" s="223"/>
      <c r="E27" s="223"/>
      <c r="F27" s="223"/>
      <c r="G27" s="223"/>
      <c r="H27" s="223"/>
      <c r="I27" s="223"/>
      <c r="J27" s="223"/>
      <c r="K27" s="223"/>
      <c r="L27" s="223"/>
    </row>
    <row r="28" spans="1:19">
      <c r="A28" s="211" t="s">
        <v>651</v>
      </c>
      <c r="B28" s="224">
        <v>3</v>
      </c>
      <c r="C28" s="212">
        <v>2.8</v>
      </c>
      <c r="D28" s="212">
        <v>2.6</v>
      </c>
      <c r="E28" s="212">
        <v>2.2000000000000002</v>
      </c>
      <c r="F28" s="212">
        <v>1.8</v>
      </c>
      <c r="G28" s="212">
        <v>2.8</v>
      </c>
      <c r="H28" s="212">
        <v>5.2</v>
      </c>
      <c r="I28" s="212">
        <v>1.4</v>
      </c>
      <c r="J28" s="212">
        <v>2.4</v>
      </c>
      <c r="K28" s="237" t="s">
        <v>654</v>
      </c>
      <c r="L28" s="212"/>
    </row>
    <row r="29" spans="1:19">
      <c r="A29" s="215" t="s">
        <v>653</v>
      </c>
      <c r="B29" s="212">
        <v>45</v>
      </c>
      <c r="C29" s="212">
        <v>45</v>
      </c>
      <c r="D29" s="212">
        <v>45</v>
      </c>
      <c r="E29" s="212">
        <v>45</v>
      </c>
      <c r="F29" s="212">
        <v>45</v>
      </c>
      <c r="G29" s="212"/>
      <c r="H29" s="212"/>
      <c r="I29" s="212"/>
      <c r="J29" s="215"/>
      <c r="K29" s="237" t="s">
        <v>656</v>
      </c>
      <c r="L29" s="212"/>
    </row>
    <row r="30" spans="1:19">
      <c r="A30" s="211" t="s">
        <v>655</v>
      </c>
      <c r="B30" s="212">
        <v>10</v>
      </c>
      <c r="C30" s="212">
        <v>10</v>
      </c>
      <c r="D30" s="212">
        <v>10</v>
      </c>
      <c r="E30" s="212">
        <v>10</v>
      </c>
      <c r="F30" s="212">
        <v>10</v>
      </c>
      <c r="G30" s="212"/>
      <c r="H30" s="212"/>
      <c r="I30" s="212"/>
      <c r="J30" s="211"/>
      <c r="K30" s="237" t="s">
        <v>659</v>
      </c>
      <c r="L30" s="212"/>
    </row>
    <row r="31" spans="1:19">
      <c r="A31" s="225" t="s">
        <v>657</v>
      </c>
      <c r="B31" s="212">
        <v>10</v>
      </c>
      <c r="C31" s="212">
        <v>10</v>
      </c>
      <c r="D31" s="212">
        <v>10</v>
      </c>
      <c r="E31" s="212">
        <v>10</v>
      </c>
      <c r="F31" s="212">
        <v>10</v>
      </c>
      <c r="G31" s="218"/>
      <c r="H31" s="218"/>
      <c r="I31" s="218"/>
      <c r="J31" s="222"/>
      <c r="K31" s="226"/>
      <c r="L31" s="218"/>
    </row>
    <row r="32" spans="1:19">
      <c r="A32" s="211" t="s">
        <v>694</v>
      </c>
      <c r="B32" s="212">
        <v>20</v>
      </c>
      <c r="C32" s="212">
        <v>20</v>
      </c>
      <c r="D32" s="212">
        <v>20</v>
      </c>
      <c r="E32" s="212">
        <v>20</v>
      </c>
      <c r="F32" s="212">
        <v>20</v>
      </c>
      <c r="G32" s="212"/>
      <c r="H32" s="212"/>
      <c r="I32" s="212"/>
      <c r="J32" s="215"/>
      <c r="K32" s="237" t="s">
        <v>662</v>
      </c>
      <c r="L32" s="212"/>
    </row>
    <row r="33" spans="1:12">
      <c r="A33" s="211" t="s">
        <v>660</v>
      </c>
      <c r="B33" s="212">
        <v>15</v>
      </c>
      <c r="C33" s="212">
        <v>15</v>
      </c>
      <c r="D33" s="212">
        <v>15</v>
      </c>
      <c r="E33" s="212">
        <v>15</v>
      </c>
      <c r="F33" s="212">
        <v>15</v>
      </c>
      <c r="G33" s="212"/>
      <c r="H33" s="212"/>
      <c r="I33" s="212"/>
      <c r="J33" s="215"/>
      <c r="K33" s="226"/>
      <c r="L33" s="212"/>
    </row>
    <row r="34" spans="1:12">
      <c r="A34" s="222" t="s">
        <v>661</v>
      </c>
      <c r="B34" s="218">
        <f>B28*0.03</f>
        <v>0.09</v>
      </c>
      <c r="C34" s="218">
        <f t="shared" ref="C34:J34" si="0">C28*0.03</f>
        <v>8.3999999999999991E-2</v>
      </c>
      <c r="D34" s="218">
        <f t="shared" si="0"/>
        <v>7.8E-2</v>
      </c>
      <c r="E34" s="218">
        <f t="shared" si="0"/>
        <v>6.6000000000000003E-2</v>
      </c>
      <c r="F34" s="218">
        <f t="shared" si="0"/>
        <v>5.3999999999999999E-2</v>
      </c>
      <c r="G34" s="218">
        <f t="shared" si="0"/>
        <v>8.3999999999999991E-2</v>
      </c>
      <c r="H34" s="218">
        <f t="shared" si="0"/>
        <v>0.156</v>
      </c>
      <c r="I34" s="218">
        <f t="shared" si="0"/>
        <v>4.1999999999999996E-2</v>
      </c>
      <c r="J34" s="218">
        <f t="shared" si="0"/>
        <v>7.1999999999999995E-2</v>
      </c>
      <c r="K34" s="237" t="s">
        <v>667</v>
      </c>
      <c r="L34" s="228"/>
    </row>
    <row r="35" spans="1:12">
      <c r="A35" s="215" t="s">
        <v>663</v>
      </c>
      <c r="B35" s="212">
        <v>2.5</v>
      </c>
      <c r="C35" s="212">
        <v>2.5</v>
      </c>
      <c r="D35" s="212">
        <v>2.5</v>
      </c>
      <c r="E35" s="212">
        <v>2.5</v>
      </c>
      <c r="F35" s="212">
        <v>2.5</v>
      </c>
      <c r="G35" s="218">
        <v>1.5</v>
      </c>
      <c r="H35" s="218">
        <v>3.5</v>
      </c>
      <c r="I35" s="218">
        <v>1.5</v>
      </c>
      <c r="J35" s="218">
        <v>3.5</v>
      </c>
      <c r="K35" s="237"/>
      <c r="L35" s="212"/>
    </row>
    <row r="36" spans="1:12">
      <c r="A36" s="221" t="s">
        <v>664</v>
      </c>
      <c r="B36" s="212">
        <v>25</v>
      </c>
      <c r="C36" s="212">
        <v>25</v>
      </c>
      <c r="D36" s="212">
        <v>25</v>
      </c>
      <c r="E36" s="212">
        <v>25</v>
      </c>
      <c r="F36" s="212">
        <v>25</v>
      </c>
      <c r="G36" s="212"/>
      <c r="H36" s="212"/>
      <c r="I36" s="212"/>
      <c r="J36" s="215"/>
      <c r="K36" s="212"/>
      <c r="L36" s="212"/>
    </row>
    <row r="37" spans="1:12">
      <c r="A37" s="210" t="s">
        <v>665</v>
      </c>
      <c r="B37" s="212"/>
      <c r="C37" s="212"/>
      <c r="D37" s="212"/>
      <c r="E37" s="212"/>
      <c r="F37" s="216"/>
      <c r="G37" s="212"/>
      <c r="H37" s="212"/>
      <c r="I37" s="212"/>
      <c r="J37" s="215"/>
      <c r="K37" s="212"/>
      <c r="L37" s="212"/>
    </row>
    <row r="38" spans="1:12" ht="20.399999999999999">
      <c r="A38" s="215" t="s">
        <v>666</v>
      </c>
      <c r="B38" s="229">
        <v>0.1</v>
      </c>
      <c r="C38" s="229">
        <v>0.1</v>
      </c>
      <c r="D38" s="212">
        <v>8.5000000000000006E-2</v>
      </c>
      <c r="E38" s="212">
        <v>7.4999999999999997E-2</v>
      </c>
      <c r="F38" s="212">
        <v>7.4999999999999997E-2</v>
      </c>
      <c r="G38" s="212">
        <v>0.09</v>
      </c>
      <c r="H38" s="212">
        <v>0.11</v>
      </c>
      <c r="I38" s="212">
        <v>7.0000000000000007E-2</v>
      </c>
      <c r="J38" s="216">
        <v>0.09</v>
      </c>
      <c r="K38" s="212" t="s">
        <v>695</v>
      </c>
      <c r="L38" s="212"/>
    </row>
    <row r="39" spans="1:12" ht="20.399999999999999">
      <c r="A39" s="211" t="s">
        <v>668</v>
      </c>
      <c r="B39" s="212">
        <v>0.16</v>
      </c>
      <c r="C39" s="212">
        <v>0.16</v>
      </c>
      <c r="D39" s="212">
        <v>0.14000000000000001</v>
      </c>
      <c r="E39" s="212">
        <v>0.13</v>
      </c>
      <c r="F39" s="212">
        <v>0.13</v>
      </c>
      <c r="G39" s="212">
        <v>0.14000000000000001</v>
      </c>
      <c r="H39" s="212">
        <v>0.18</v>
      </c>
      <c r="I39" s="212">
        <v>0.12</v>
      </c>
      <c r="J39" s="212">
        <v>0.15</v>
      </c>
      <c r="K39" s="212" t="s">
        <v>695</v>
      </c>
      <c r="L39" s="212"/>
    </row>
    <row r="40" spans="1:12">
      <c r="A40" s="230"/>
    </row>
    <row r="41" spans="1:12">
      <c r="A41" s="231" t="s">
        <v>669</v>
      </c>
    </row>
    <row r="42" spans="1:12">
      <c r="A42" s="199">
        <v>1</v>
      </c>
    </row>
    <row r="43" spans="1:12">
      <c r="A43" s="199">
        <v>2</v>
      </c>
    </row>
    <row r="44" spans="1:12">
      <c r="A44" s="199">
        <v>3</v>
      </c>
    </row>
    <row r="47" spans="1:12">
      <c r="A47" s="235" t="s">
        <v>670</v>
      </c>
    </row>
    <row r="48" spans="1:12">
      <c r="A48" s="236" t="s">
        <v>622</v>
      </c>
      <c r="B48" s="199" t="s">
        <v>696</v>
      </c>
    </row>
    <row r="49" spans="1:2">
      <c r="A49" s="236" t="s">
        <v>627</v>
      </c>
      <c r="B49" s="199" t="s">
        <v>697</v>
      </c>
    </row>
    <row r="50" spans="1:2">
      <c r="A50" s="236" t="s">
        <v>629</v>
      </c>
      <c r="B50" s="199" t="s">
        <v>698</v>
      </c>
    </row>
    <row r="51" spans="1:2">
      <c r="A51" s="236" t="s">
        <v>631</v>
      </c>
      <c r="B51" s="199" t="s">
        <v>674</v>
      </c>
    </row>
    <row r="52" spans="1:2">
      <c r="A52" s="236" t="s">
        <v>636</v>
      </c>
      <c r="B52" s="199" t="s">
        <v>675</v>
      </c>
    </row>
    <row r="53" spans="1:2">
      <c r="A53" s="236" t="s">
        <v>638</v>
      </c>
      <c r="B53" s="199" t="s">
        <v>676</v>
      </c>
    </row>
    <row r="54" spans="1:2">
      <c r="A54" s="236" t="s">
        <v>640</v>
      </c>
      <c r="B54" s="199" t="s">
        <v>699</v>
      </c>
    </row>
    <row r="55" spans="1:2">
      <c r="A55" s="236" t="s">
        <v>643</v>
      </c>
      <c r="B55" s="199" t="s">
        <v>678</v>
      </c>
    </row>
    <row r="56" spans="1:2">
      <c r="A56" s="236" t="s">
        <v>652</v>
      </c>
      <c r="B56" s="199" t="s">
        <v>700</v>
      </c>
    </row>
    <row r="57" spans="1:2">
      <c r="A57" s="236" t="s">
        <v>654</v>
      </c>
      <c r="B57" s="199" t="s">
        <v>701</v>
      </c>
    </row>
    <row r="58" spans="1:2">
      <c r="A58" s="236" t="s">
        <v>656</v>
      </c>
      <c r="B58" s="199" t="s">
        <v>680</v>
      </c>
    </row>
    <row r="59" spans="1:2">
      <c r="A59" s="236" t="s">
        <v>659</v>
      </c>
      <c r="B59" s="199" t="s">
        <v>681</v>
      </c>
    </row>
    <row r="60" spans="1:2">
      <c r="A60" s="236" t="s">
        <v>662</v>
      </c>
      <c r="B60" s="199" t="s">
        <v>702</v>
      </c>
    </row>
    <row r="61" spans="1:2">
      <c r="A61" s="236" t="s">
        <v>667</v>
      </c>
      <c r="B61" s="199" t="s">
        <v>683</v>
      </c>
    </row>
    <row r="62" spans="1:2">
      <c r="A62" s="236" t="s">
        <v>695</v>
      </c>
      <c r="B62" s="199" t="s">
        <v>684</v>
      </c>
    </row>
  </sheetData>
  <mergeCells count="3">
    <mergeCell ref="B2:L2"/>
    <mergeCell ref="G3:H3"/>
    <mergeCell ref="I3:J3"/>
  </mergeCells>
  <hyperlinks>
    <hyperlink ref="B2" location="INDEX" display="Post-combustion carbon capture - Retrofit 4500 ton clinker per day cement kiln" xr:uid="{2CB74A38-C296-44CB-AE89-9E1A17204AA7}"/>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3B03E-847F-41A6-B3FE-9D5793752A72}">
  <sheetPr>
    <tabColor theme="5" tint="0.59999389629810485"/>
  </sheetPr>
  <dimension ref="A1:L57"/>
  <sheetViews>
    <sheetView zoomScale="120" zoomScaleNormal="120" workbookViewId="0">
      <selection activeCell="D17" sqref="D17"/>
    </sheetView>
  </sheetViews>
  <sheetFormatPr defaultColWidth="8.6640625" defaultRowHeight="14.4"/>
  <cols>
    <col min="1" max="1" width="54.33203125" style="199" customWidth="1"/>
    <col min="2" max="10" width="8.5546875" style="199" customWidth="1"/>
    <col min="11" max="11" width="7.88671875" style="199" customWidth="1"/>
    <col min="12" max="12" width="6.33203125" style="199" customWidth="1"/>
    <col min="13" max="13" width="8.6640625" style="199"/>
    <col min="14" max="14" width="12" style="199" bestFit="1" customWidth="1"/>
    <col min="15" max="16384" width="8.6640625" style="199"/>
  </cols>
  <sheetData>
    <row r="1" spans="1:12" s="91" customFormat="1"/>
    <row r="2" spans="1:12" ht="15.75" customHeight="1">
      <c r="A2" s="198" t="s">
        <v>613</v>
      </c>
      <c r="B2" s="415" t="s">
        <v>703</v>
      </c>
      <c r="C2" s="420"/>
      <c r="D2" s="416"/>
      <c r="E2" s="416"/>
      <c r="F2" s="416"/>
      <c r="G2" s="416"/>
      <c r="H2" s="416"/>
      <c r="I2" s="416"/>
      <c r="J2" s="416"/>
      <c r="K2" s="416"/>
      <c r="L2" s="417"/>
    </row>
    <row r="3" spans="1:12" ht="15.75" customHeight="1">
      <c r="A3" s="200"/>
      <c r="B3" s="201">
        <v>2020</v>
      </c>
      <c r="C3" s="201">
        <v>2025</v>
      </c>
      <c r="D3" s="202">
        <v>2030</v>
      </c>
      <c r="E3" s="202">
        <v>2040</v>
      </c>
      <c r="F3" s="203">
        <v>2050</v>
      </c>
      <c r="G3" s="421" t="s">
        <v>615</v>
      </c>
      <c r="H3" s="422"/>
      <c r="I3" s="418" t="s">
        <v>616</v>
      </c>
      <c r="J3" s="419"/>
      <c r="K3" s="202" t="s">
        <v>454</v>
      </c>
      <c r="L3" s="204" t="s">
        <v>617</v>
      </c>
    </row>
    <row r="4" spans="1:12">
      <c r="A4" s="200"/>
      <c r="B4" s="205"/>
      <c r="C4" s="206"/>
      <c r="D4" s="207"/>
      <c r="E4" s="207"/>
      <c r="F4" s="207"/>
      <c r="G4" s="208" t="s">
        <v>618</v>
      </c>
      <c r="H4" s="208" t="s">
        <v>619</v>
      </c>
      <c r="I4" s="208" t="s">
        <v>618</v>
      </c>
      <c r="J4" s="208" t="s">
        <v>619</v>
      </c>
      <c r="K4" s="207"/>
      <c r="L4" s="209"/>
    </row>
    <row r="5" spans="1:12">
      <c r="A5" s="210" t="s">
        <v>620</v>
      </c>
      <c r="B5" s="207"/>
      <c r="C5" s="207"/>
      <c r="D5" s="207"/>
      <c r="E5" s="207"/>
      <c r="F5" s="207"/>
      <c r="G5" s="207"/>
      <c r="H5" s="207"/>
      <c r="I5" s="207"/>
      <c r="J5" s="207"/>
      <c r="K5" s="207"/>
      <c r="L5" s="209"/>
    </row>
    <row r="6" spans="1:12">
      <c r="A6" s="211" t="s">
        <v>621</v>
      </c>
      <c r="B6" s="212">
        <v>175</v>
      </c>
      <c r="C6" s="212">
        <v>175</v>
      </c>
      <c r="D6" s="212">
        <v>175</v>
      </c>
      <c r="E6" s="212">
        <v>175</v>
      </c>
      <c r="F6" s="212">
        <v>175</v>
      </c>
      <c r="G6" s="212">
        <v>170</v>
      </c>
      <c r="H6" s="212">
        <v>180</v>
      </c>
      <c r="I6" s="212">
        <v>175</v>
      </c>
      <c r="J6" s="212">
        <v>180</v>
      </c>
      <c r="K6" s="212" t="s">
        <v>622</v>
      </c>
      <c r="L6" s="212">
        <v>1</v>
      </c>
    </row>
    <row r="7" spans="1:12">
      <c r="A7" s="240" t="s">
        <v>623</v>
      </c>
      <c r="B7" s="241"/>
      <c r="C7" s="241"/>
      <c r="D7" s="241"/>
      <c r="E7" s="241"/>
      <c r="F7" s="241"/>
      <c r="G7" s="241"/>
      <c r="H7" s="241"/>
      <c r="I7" s="241"/>
      <c r="J7" s="241"/>
      <c r="K7" s="241"/>
      <c r="L7" s="242"/>
    </row>
    <row r="8" spans="1:12">
      <c r="A8" s="211" t="s">
        <v>704</v>
      </c>
      <c r="B8" s="243">
        <v>2</v>
      </c>
      <c r="C8" s="243">
        <v>1.9</v>
      </c>
      <c r="D8" s="218">
        <v>1.85</v>
      </c>
      <c r="E8" s="218">
        <v>1.8</v>
      </c>
      <c r="F8" s="218">
        <v>1.8</v>
      </c>
      <c r="G8" s="218">
        <v>2</v>
      </c>
      <c r="H8" s="218">
        <v>1.8</v>
      </c>
      <c r="I8" s="218">
        <v>2</v>
      </c>
      <c r="J8" s="218">
        <v>1.8</v>
      </c>
      <c r="K8" s="218"/>
      <c r="L8" s="218">
        <v>1</v>
      </c>
    </row>
    <row r="9" spans="1:12">
      <c r="A9" s="215" t="s">
        <v>705</v>
      </c>
      <c r="B9" s="244">
        <v>0.3</v>
      </c>
      <c r="C9" s="244">
        <v>0.31</v>
      </c>
      <c r="D9" s="245">
        <v>0.31</v>
      </c>
      <c r="E9" s="245">
        <v>0.32</v>
      </c>
      <c r="F9" s="245">
        <v>0.32</v>
      </c>
      <c r="G9" s="245">
        <v>0.3</v>
      </c>
      <c r="H9" s="245">
        <v>0.35</v>
      </c>
      <c r="I9" s="245">
        <v>0.3</v>
      </c>
      <c r="J9" s="245">
        <v>0.35</v>
      </c>
      <c r="K9" s="218" t="s">
        <v>627</v>
      </c>
      <c r="L9" s="237">
        <v>1</v>
      </c>
    </row>
    <row r="10" spans="1:12">
      <c r="A10" s="211" t="s">
        <v>706</v>
      </c>
      <c r="B10" s="246">
        <v>0.57999999999999996</v>
      </c>
      <c r="C10" s="246">
        <v>0.6</v>
      </c>
      <c r="D10" s="246">
        <v>0.6</v>
      </c>
      <c r="E10" s="246">
        <v>0.62</v>
      </c>
      <c r="F10" s="246">
        <v>0.62</v>
      </c>
      <c r="G10" s="246">
        <v>0.57999999999999996</v>
      </c>
      <c r="H10" s="246">
        <v>0.62</v>
      </c>
      <c r="I10" s="246">
        <v>0.57999999999999996</v>
      </c>
      <c r="J10" s="246">
        <v>0.62</v>
      </c>
      <c r="K10" s="212"/>
      <c r="L10" s="212">
        <v>1</v>
      </c>
    </row>
    <row r="11" spans="1:12">
      <c r="A11" s="217" t="s">
        <v>628</v>
      </c>
      <c r="B11" s="243">
        <v>0</v>
      </c>
      <c r="C11" s="243">
        <v>0</v>
      </c>
      <c r="D11" s="218">
        <v>0</v>
      </c>
      <c r="E11" s="218">
        <v>0</v>
      </c>
      <c r="F11" s="218">
        <v>0</v>
      </c>
      <c r="G11" s="218">
        <v>0</v>
      </c>
      <c r="H11" s="218">
        <v>0</v>
      </c>
      <c r="I11" s="218">
        <v>0</v>
      </c>
      <c r="J11" s="218">
        <v>0</v>
      </c>
      <c r="K11" s="218"/>
      <c r="L11" s="218">
        <v>1</v>
      </c>
    </row>
    <row r="12" spans="1:12">
      <c r="A12" s="219" t="s">
        <v>630</v>
      </c>
      <c r="B12" s="243">
        <v>0</v>
      </c>
      <c r="C12" s="243">
        <v>0</v>
      </c>
      <c r="D12" s="243">
        <v>0</v>
      </c>
      <c r="E12" s="243">
        <v>0</v>
      </c>
      <c r="F12" s="243">
        <v>0</v>
      </c>
      <c r="G12" s="243">
        <v>0</v>
      </c>
      <c r="H12" s="243">
        <v>0</v>
      </c>
      <c r="I12" s="243">
        <v>0</v>
      </c>
      <c r="J12" s="243">
        <v>0</v>
      </c>
      <c r="K12" s="212" t="s">
        <v>629</v>
      </c>
      <c r="L12" s="212">
        <v>1</v>
      </c>
    </row>
    <row r="13" spans="1:12">
      <c r="A13" s="247" t="s">
        <v>707</v>
      </c>
      <c r="B13" s="212">
        <v>0.86</v>
      </c>
      <c r="C13" s="212">
        <v>0.86</v>
      </c>
      <c r="D13" s="212">
        <v>0.86</v>
      </c>
      <c r="E13" s="212">
        <v>0.86</v>
      </c>
      <c r="F13" s="212">
        <v>0.86</v>
      </c>
      <c r="G13" s="212">
        <v>0.86</v>
      </c>
      <c r="H13" s="212">
        <v>0.86</v>
      </c>
      <c r="I13" s="212">
        <v>0.86</v>
      </c>
      <c r="J13" s="212">
        <v>0.86</v>
      </c>
      <c r="K13" s="212"/>
      <c r="L13" s="212"/>
    </row>
    <row r="14" spans="1:12">
      <c r="A14" s="213" t="s">
        <v>634</v>
      </c>
      <c r="B14" s="241"/>
      <c r="C14" s="241"/>
      <c r="D14" s="241"/>
      <c r="E14" s="241"/>
      <c r="F14" s="241"/>
      <c r="G14" s="241"/>
      <c r="H14" s="241"/>
      <c r="I14" s="241"/>
      <c r="J14" s="241"/>
      <c r="K14" s="241"/>
      <c r="L14" s="242"/>
    </row>
    <row r="15" spans="1:12">
      <c r="A15" s="221" t="s">
        <v>635</v>
      </c>
      <c r="B15" s="248">
        <v>0.7</v>
      </c>
      <c r="C15" s="248">
        <v>0.75</v>
      </c>
      <c r="D15" s="249">
        <v>0.8</v>
      </c>
      <c r="E15" s="249">
        <v>0.8</v>
      </c>
      <c r="F15" s="249">
        <v>0.85</v>
      </c>
      <c r="G15" s="249">
        <v>0.7</v>
      </c>
      <c r="H15" s="249">
        <v>0.8</v>
      </c>
      <c r="I15" s="249">
        <v>0.7</v>
      </c>
      <c r="J15" s="249">
        <v>0.9</v>
      </c>
      <c r="K15" s="218"/>
      <c r="L15" s="218">
        <v>1</v>
      </c>
    </row>
    <row r="16" spans="1:12">
      <c r="A16" s="221" t="s">
        <v>637</v>
      </c>
      <c r="B16" s="243">
        <v>100</v>
      </c>
      <c r="C16" s="243">
        <v>100</v>
      </c>
      <c r="D16" s="243">
        <v>100</v>
      </c>
      <c r="E16" s="243">
        <v>100</v>
      </c>
      <c r="F16" s="243">
        <v>100</v>
      </c>
      <c r="G16" s="243">
        <v>100</v>
      </c>
      <c r="H16" s="243">
        <v>100</v>
      </c>
      <c r="I16" s="243">
        <v>100</v>
      </c>
      <c r="J16" s="243">
        <v>100</v>
      </c>
      <c r="K16" s="218"/>
      <c r="L16" s="218">
        <v>1</v>
      </c>
    </row>
    <row r="17" spans="1:12">
      <c r="A17" s="211" t="s">
        <v>639</v>
      </c>
      <c r="B17" s="250">
        <f t="shared" ref="B17:J17" si="0">+B6/182</f>
        <v>0.96153846153846156</v>
      </c>
      <c r="C17" s="250">
        <f t="shared" si="0"/>
        <v>0.96153846153846156</v>
      </c>
      <c r="D17" s="250">
        <f t="shared" si="0"/>
        <v>0.96153846153846156</v>
      </c>
      <c r="E17" s="250">
        <f t="shared" si="0"/>
        <v>0.96153846153846156</v>
      </c>
      <c r="F17" s="250">
        <f t="shared" si="0"/>
        <v>0.96153846153846156</v>
      </c>
      <c r="G17" s="250">
        <f t="shared" si="0"/>
        <v>0.93406593406593408</v>
      </c>
      <c r="H17" s="250">
        <f t="shared" si="0"/>
        <v>0.98901098901098905</v>
      </c>
      <c r="I17" s="250">
        <f t="shared" si="0"/>
        <v>0.96153846153846156</v>
      </c>
      <c r="J17" s="250">
        <f t="shared" si="0"/>
        <v>0.98901098901098905</v>
      </c>
      <c r="K17" s="218" t="s">
        <v>631</v>
      </c>
      <c r="L17" s="218">
        <v>1</v>
      </c>
    </row>
    <row r="18" spans="1:12">
      <c r="A18" s="211" t="s">
        <v>708</v>
      </c>
      <c r="B18" s="243">
        <v>0.8</v>
      </c>
      <c r="C18" s="243">
        <v>0.8</v>
      </c>
      <c r="D18" s="243">
        <v>0.8</v>
      </c>
      <c r="E18" s="243">
        <v>0.8</v>
      </c>
      <c r="F18" s="243">
        <v>0.8</v>
      </c>
      <c r="G18" s="243">
        <v>0.7</v>
      </c>
      <c r="H18" s="243">
        <v>0.9</v>
      </c>
      <c r="I18" s="243">
        <v>0.7</v>
      </c>
      <c r="J18" s="243">
        <v>0.9</v>
      </c>
      <c r="K18" s="218" t="s">
        <v>636</v>
      </c>
      <c r="L18" s="218">
        <v>1</v>
      </c>
    </row>
    <row r="19" spans="1:12">
      <c r="A19" s="211" t="s">
        <v>709</v>
      </c>
      <c r="B19" s="251">
        <v>0.5</v>
      </c>
      <c r="C19" s="251">
        <v>0.5</v>
      </c>
      <c r="D19" s="251">
        <v>0.5</v>
      </c>
      <c r="E19" s="251">
        <v>0.5</v>
      </c>
      <c r="F19" s="251">
        <v>0.5</v>
      </c>
      <c r="G19" s="251">
        <v>0.4</v>
      </c>
      <c r="H19" s="251">
        <v>0.55000000000000004</v>
      </c>
      <c r="I19" s="251">
        <v>0.4</v>
      </c>
      <c r="J19" s="251">
        <v>0.55000000000000004</v>
      </c>
      <c r="K19" s="212" t="s">
        <v>638</v>
      </c>
      <c r="L19" s="212"/>
    </row>
    <row r="20" spans="1:12">
      <c r="A20" s="215" t="s">
        <v>710</v>
      </c>
      <c r="B20" s="212">
        <v>30</v>
      </c>
      <c r="C20" s="212">
        <v>30</v>
      </c>
      <c r="D20" s="212">
        <v>30</v>
      </c>
      <c r="E20" s="212">
        <v>30</v>
      </c>
      <c r="F20" s="212">
        <v>30</v>
      </c>
      <c r="G20" s="212">
        <v>30</v>
      </c>
      <c r="H20" s="212">
        <v>30</v>
      </c>
      <c r="I20" s="212">
        <v>30</v>
      </c>
      <c r="J20" s="212">
        <v>30</v>
      </c>
      <c r="K20" s="212"/>
      <c r="L20" s="212"/>
    </row>
    <row r="21" spans="1:12">
      <c r="A21" s="213" t="s">
        <v>645</v>
      </c>
      <c r="B21" s="243"/>
      <c r="C21" s="243"/>
      <c r="D21" s="218"/>
      <c r="E21" s="218"/>
      <c r="F21" s="218"/>
      <c r="G21" s="218"/>
      <c r="H21" s="218"/>
      <c r="I21" s="218"/>
      <c r="J21" s="218"/>
      <c r="K21" s="218"/>
      <c r="L21" s="218"/>
    </row>
    <row r="22" spans="1:12">
      <c r="A22" s="211" t="s">
        <v>646</v>
      </c>
      <c r="B22" s="252">
        <v>0.05</v>
      </c>
      <c r="C22" s="252">
        <v>0.05</v>
      </c>
      <c r="D22" s="246">
        <v>0.04</v>
      </c>
      <c r="E22" s="246">
        <v>0.03</v>
      </c>
      <c r="F22" s="246">
        <v>0.03</v>
      </c>
      <c r="G22" s="246">
        <v>0.03</v>
      </c>
      <c r="H22" s="246">
        <v>0.05</v>
      </c>
      <c r="I22" s="246">
        <v>0.03</v>
      </c>
      <c r="J22" s="246">
        <v>0.05</v>
      </c>
      <c r="K22" s="212"/>
      <c r="L22" s="212"/>
    </row>
    <row r="23" spans="1:12">
      <c r="A23" s="211" t="s">
        <v>647</v>
      </c>
      <c r="B23" s="253">
        <v>3</v>
      </c>
      <c r="C23" s="253">
        <v>3</v>
      </c>
      <c r="D23" s="212">
        <v>3</v>
      </c>
      <c r="E23" s="212">
        <v>2</v>
      </c>
      <c r="F23" s="212">
        <v>2</v>
      </c>
      <c r="G23" s="212">
        <v>2</v>
      </c>
      <c r="H23" s="212">
        <v>4</v>
      </c>
      <c r="I23" s="212">
        <v>2</v>
      </c>
      <c r="J23" s="212">
        <v>3</v>
      </c>
      <c r="K23" s="212"/>
      <c r="L23" s="212"/>
    </row>
    <row r="24" spans="1:12">
      <c r="A24" s="211" t="s">
        <v>648</v>
      </c>
      <c r="B24" s="212">
        <v>25</v>
      </c>
      <c r="C24" s="212">
        <v>25</v>
      </c>
      <c r="D24" s="212">
        <v>25</v>
      </c>
      <c r="E24" s="212">
        <v>25</v>
      </c>
      <c r="F24" s="212">
        <v>25</v>
      </c>
      <c r="G24" s="212">
        <v>25</v>
      </c>
      <c r="H24" s="212">
        <v>25</v>
      </c>
      <c r="I24" s="212">
        <v>25</v>
      </c>
      <c r="J24" s="212">
        <v>25</v>
      </c>
      <c r="K24" s="212"/>
      <c r="L24" s="212"/>
    </row>
    <row r="25" spans="1:12">
      <c r="A25" s="247"/>
      <c r="B25" s="212"/>
      <c r="C25" s="212"/>
      <c r="D25" s="212"/>
      <c r="E25" s="212"/>
      <c r="F25" s="212"/>
      <c r="G25" s="212"/>
      <c r="H25" s="212"/>
      <c r="I25" s="212"/>
      <c r="J25" s="212"/>
      <c r="K25" s="212"/>
      <c r="L25" s="212"/>
    </row>
    <row r="26" spans="1:12" ht="14.7" customHeight="1">
      <c r="A26" s="210" t="s">
        <v>650</v>
      </c>
      <c r="B26" s="227"/>
      <c r="C26" s="227"/>
      <c r="D26" s="227"/>
      <c r="E26" s="227"/>
      <c r="F26" s="227"/>
      <c r="G26" s="227"/>
      <c r="H26" s="227"/>
      <c r="I26" s="227"/>
      <c r="J26" s="227"/>
      <c r="K26" s="227"/>
      <c r="L26" s="228"/>
    </row>
    <row r="27" spans="1:12">
      <c r="A27" s="211" t="s">
        <v>651</v>
      </c>
      <c r="B27" s="218">
        <f>0.55+0.9</f>
        <v>1.4500000000000002</v>
      </c>
      <c r="C27" s="218">
        <f>B27</f>
        <v>1.4500000000000002</v>
      </c>
      <c r="D27" s="254">
        <f>+C27*0.95</f>
        <v>1.3775000000000002</v>
      </c>
      <c r="E27" s="254">
        <v>1.3</v>
      </c>
      <c r="F27" s="255">
        <v>1.1499999999999999</v>
      </c>
      <c r="G27" s="218">
        <f>0.4+0.8</f>
        <v>1.2000000000000002</v>
      </c>
      <c r="H27" s="218">
        <f>0.6+2</f>
        <v>2.6</v>
      </c>
      <c r="I27" s="218">
        <f>0.35+0.6</f>
        <v>0.95</v>
      </c>
      <c r="J27" s="237">
        <f>0.6+1.5</f>
        <v>2.1</v>
      </c>
      <c r="K27" s="212" t="s">
        <v>640</v>
      </c>
      <c r="L27" s="218"/>
    </row>
    <row r="28" spans="1:12">
      <c r="A28" s="215" t="s">
        <v>711</v>
      </c>
      <c r="B28" s="212"/>
      <c r="C28" s="212"/>
      <c r="D28" s="212"/>
      <c r="E28" s="212"/>
      <c r="F28" s="215"/>
      <c r="G28" s="212"/>
      <c r="H28" s="212"/>
      <c r="I28" s="212"/>
      <c r="J28" s="215"/>
      <c r="K28" s="212"/>
      <c r="L28" s="212"/>
    </row>
    <row r="29" spans="1:12">
      <c r="A29" s="211" t="s">
        <v>712</v>
      </c>
      <c r="B29" s="212"/>
      <c r="C29" s="212"/>
      <c r="D29" s="212"/>
      <c r="E29" s="212"/>
      <c r="F29" s="211"/>
      <c r="G29" s="212"/>
      <c r="H29" s="212"/>
      <c r="I29" s="212"/>
      <c r="J29" s="211"/>
      <c r="K29" s="212"/>
      <c r="L29" s="212"/>
    </row>
    <row r="30" spans="1:12">
      <c r="A30" s="222" t="s">
        <v>661</v>
      </c>
      <c r="B30" s="256">
        <f>0.03*B27</f>
        <v>4.3500000000000004E-2</v>
      </c>
      <c r="C30" s="256">
        <f t="shared" ref="C30:J30" si="1">0.03*C27</f>
        <v>4.3500000000000004E-2</v>
      </c>
      <c r="D30" s="256">
        <f t="shared" si="1"/>
        <v>4.1325000000000001E-2</v>
      </c>
      <c r="E30" s="256">
        <f t="shared" si="1"/>
        <v>3.9E-2</v>
      </c>
      <c r="F30" s="256">
        <f t="shared" si="1"/>
        <v>3.4499999999999996E-2</v>
      </c>
      <c r="G30" s="256">
        <f t="shared" si="1"/>
        <v>3.6000000000000004E-2</v>
      </c>
      <c r="H30" s="256">
        <f t="shared" si="1"/>
        <v>7.8E-2</v>
      </c>
      <c r="I30" s="256">
        <f t="shared" si="1"/>
        <v>2.8499999999999998E-2</v>
      </c>
      <c r="J30" s="256">
        <f t="shared" si="1"/>
        <v>6.3E-2</v>
      </c>
      <c r="K30" s="212" t="s">
        <v>643</v>
      </c>
      <c r="L30" s="218"/>
    </row>
    <row r="31" spans="1:12">
      <c r="A31" s="215" t="s">
        <v>713</v>
      </c>
      <c r="B31" s="218">
        <v>2</v>
      </c>
      <c r="C31" s="218">
        <v>2</v>
      </c>
      <c r="D31" s="218">
        <v>2</v>
      </c>
      <c r="E31" s="218">
        <v>2</v>
      </c>
      <c r="F31" s="218">
        <v>2</v>
      </c>
      <c r="G31" s="218">
        <v>2</v>
      </c>
      <c r="H31" s="218">
        <v>2</v>
      </c>
      <c r="I31" s="218">
        <v>2</v>
      </c>
      <c r="J31" s="218">
        <v>2</v>
      </c>
      <c r="K31" s="212" t="s">
        <v>652</v>
      </c>
      <c r="L31" s="218"/>
    </row>
    <row r="32" spans="1:12">
      <c r="A32" s="221" t="s">
        <v>664</v>
      </c>
      <c r="B32" s="218">
        <v>100</v>
      </c>
      <c r="C32" s="218">
        <v>100</v>
      </c>
      <c r="D32" s="218">
        <v>100</v>
      </c>
      <c r="E32" s="218">
        <v>100</v>
      </c>
      <c r="F32" s="218">
        <v>100</v>
      </c>
      <c r="G32" s="218">
        <v>100</v>
      </c>
      <c r="H32" s="257">
        <v>100</v>
      </c>
      <c r="I32" s="218">
        <v>100</v>
      </c>
      <c r="J32" s="218">
        <v>100</v>
      </c>
      <c r="K32" s="212" t="s">
        <v>654</v>
      </c>
      <c r="L32" s="218"/>
    </row>
    <row r="33" spans="1:12">
      <c r="A33" s="215"/>
      <c r="B33" s="212"/>
      <c r="C33" s="212"/>
      <c r="D33" s="212"/>
      <c r="E33" s="212"/>
      <c r="F33" s="215"/>
      <c r="G33" s="212"/>
      <c r="H33" s="212"/>
      <c r="I33" s="212"/>
      <c r="J33" s="215"/>
      <c r="K33" s="212"/>
      <c r="L33" s="212"/>
    </row>
    <row r="34" spans="1:12">
      <c r="A34" s="210" t="s">
        <v>665</v>
      </c>
      <c r="B34" s="212"/>
      <c r="C34" s="212"/>
      <c r="D34" s="212"/>
      <c r="E34" s="212"/>
      <c r="F34" s="211"/>
      <c r="G34" s="212"/>
      <c r="H34" s="212"/>
      <c r="I34" s="212"/>
      <c r="J34" s="211"/>
      <c r="K34" s="212"/>
      <c r="L34" s="212"/>
    </row>
    <row r="35" spans="1:12">
      <c r="A35" s="211" t="s">
        <v>714</v>
      </c>
      <c r="B35" s="218">
        <v>0.8</v>
      </c>
      <c r="C35" s="218">
        <v>0.8</v>
      </c>
      <c r="D35" s="218">
        <v>0.75</v>
      </c>
      <c r="E35" s="218">
        <v>0.7</v>
      </c>
      <c r="F35" s="218">
        <v>0.6</v>
      </c>
      <c r="G35" s="257">
        <v>0.7</v>
      </c>
      <c r="H35" s="257">
        <v>0.9</v>
      </c>
      <c r="I35" s="257">
        <v>0.5</v>
      </c>
      <c r="J35" s="257">
        <v>0.8</v>
      </c>
      <c r="K35" s="212" t="s">
        <v>656</v>
      </c>
      <c r="L35" s="226"/>
    </row>
    <row r="36" spans="1:12">
      <c r="A36" s="221" t="s">
        <v>715</v>
      </c>
      <c r="B36" s="212">
        <v>0.19</v>
      </c>
      <c r="C36" s="212">
        <v>0.18</v>
      </c>
      <c r="D36" s="212">
        <v>0.16</v>
      </c>
      <c r="E36" s="212">
        <v>0.15</v>
      </c>
      <c r="F36" s="212">
        <v>0.15</v>
      </c>
      <c r="G36" s="212">
        <v>0.18</v>
      </c>
      <c r="H36" s="212">
        <v>0.2</v>
      </c>
      <c r="I36" s="212">
        <v>0.125</v>
      </c>
      <c r="J36" s="212">
        <v>0.17499999999999999</v>
      </c>
      <c r="K36" s="258"/>
      <c r="L36" s="258"/>
    </row>
    <row r="37" spans="1:12">
      <c r="A37" s="247" t="s">
        <v>716</v>
      </c>
      <c r="B37" s="237">
        <v>0.18</v>
      </c>
      <c r="C37" s="237">
        <v>0.18</v>
      </c>
      <c r="D37" s="237">
        <v>0.17</v>
      </c>
      <c r="E37" s="237">
        <v>0.16</v>
      </c>
      <c r="F37" s="237">
        <v>0.15</v>
      </c>
      <c r="G37" s="212">
        <v>0.16</v>
      </c>
      <c r="H37" s="212">
        <v>0.2</v>
      </c>
      <c r="I37" s="212">
        <v>0.12</v>
      </c>
      <c r="J37" s="212">
        <v>0.18</v>
      </c>
      <c r="K37" s="258"/>
      <c r="L37" s="258"/>
    </row>
    <row r="38" spans="1:12">
      <c r="A38" s="221" t="s">
        <v>717</v>
      </c>
      <c r="B38" s="212">
        <v>0.3</v>
      </c>
      <c r="C38" s="212">
        <v>0.3</v>
      </c>
      <c r="D38" s="212">
        <v>0.28999999999999998</v>
      </c>
      <c r="E38" s="212">
        <v>0.27</v>
      </c>
      <c r="F38" s="212">
        <v>0.25</v>
      </c>
      <c r="G38" s="212">
        <v>0.25</v>
      </c>
      <c r="H38" s="212">
        <v>0.35</v>
      </c>
      <c r="I38" s="212">
        <v>0.2</v>
      </c>
      <c r="J38" s="212">
        <v>0.3</v>
      </c>
      <c r="K38" s="226"/>
      <c r="L38" s="226"/>
    </row>
    <row r="39" spans="1:12">
      <c r="A39" s="259"/>
    </row>
    <row r="40" spans="1:12">
      <c r="A40" s="231" t="s">
        <v>669</v>
      </c>
    </row>
    <row r="41" spans="1:12">
      <c r="A41" s="199">
        <v>1</v>
      </c>
      <c r="B41" s="199" t="s">
        <v>718</v>
      </c>
    </row>
    <row r="42" spans="1:12">
      <c r="A42" s="199">
        <v>2</v>
      </c>
    </row>
    <row r="43" spans="1:12">
      <c r="A43" s="199">
        <v>3</v>
      </c>
    </row>
    <row r="46" spans="1:12">
      <c r="A46" s="235" t="s">
        <v>670</v>
      </c>
    </row>
    <row r="47" spans="1:12">
      <c r="A47" s="236" t="s">
        <v>622</v>
      </c>
      <c r="B47" s="199" t="s">
        <v>690</v>
      </c>
    </row>
    <row r="48" spans="1:12">
      <c r="A48" s="236" t="s">
        <v>627</v>
      </c>
      <c r="B48" s="199" t="s">
        <v>719</v>
      </c>
    </row>
    <row r="49" spans="1:2">
      <c r="A49" s="236" t="s">
        <v>629</v>
      </c>
      <c r="B49" s="199" t="s">
        <v>720</v>
      </c>
    </row>
    <row r="50" spans="1:2">
      <c r="A50" s="236" t="s">
        <v>631</v>
      </c>
      <c r="B50" s="199" t="s">
        <v>721</v>
      </c>
    </row>
    <row r="51" spans="1:2">
      <c r="A51" s="236" t="s">
        <v>636</v>
      </c>
      <c r="B51" s="199" t="s">
        <v>722</v>
      </c>
    </row>
    <row r="52" spans="1:2">
      <c r="A52" s="236" t="s">
        <v>638</v>
      </c>
      <c r="B52" s="199" t="s">
        <v>723</v>
      </c>
    </row>
    <row r="53" spans="1:2">
      <c r="A53" s="236" t="s">
        <v>640</v>
      </c>
      <c r="B53" s="199" t="s">
        <v>724</v>
      </c>
    </row>
    <row r="54" spans="1:2">
      <c r="A54" s="236" t="s">
        <v>643</v>
      </c>
      <c r="B54" s="199" t="s">
        <v>725</v>
      </c>
    </row>
    <row r="55" spans="1:2">
      <c r="A55" s="236" t="s">
        <v>652</v>
      </c>
      <c r="B55" s="199" t="s">
        <v>726</v>
      </c>
    </row>
    <row r="56" spans="1:2">
      <c r="A56" s="236" t="s">
        <v>654</v>
      </c>
      <c r="B56" s="199" t="s">
        <v>727</v>
      </c>
    </row>
    <row r="57" spans="1:2">
      <c r="A57" s="236" t="s">
        <v>656</v>
      </c>
      <c r="B57" s="199" t="s">
        <v>728</v>
      </c>
    </row>
  </sheetData>
  <mergeCells count="3">
    <mergeCell ref="B2:L2"/>
    <mergeCell ref="G3:H3"/>
    <mergeCell ref="I3:J3"/>
  </mergeCells>
  <hyperlinks>
    <hyperlink ref="B2" location="INDEX" display="Oxy-fuel carbon capture - Retrofit 500 MW biomass boiler excluding ASU" xr:uid="{0FCB2429-99F4-4C02-BB93-AC42E66A5E49}"/>
  </hyperlinks>
  <pageMargins left="0.25" right="0.25"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C8A71-E58A-4DD0-8E98-9123FCB6973F}">
  <sheetPr>
    <tabColor theme="5" tint="0.59999389629810485"/>
  </sheetPr>
  <dimension ref="A1:L56"/>
  <sheetViews>
    <sheetView zoomScale="110" zoomScaleNormal="110" workbookViewId="0">
      <selection activeCell="C24" sqref="C24"/>
    </sheetView>
  </sheetViews>
  <sheetFormatPr defaultColWidth="8.6640625" defaultRowHeight="14.4"/>
  <cols>
    <col min="1" max="1" width="54.33203125" style="199" customWidth="1"/>
    <col min="2" max="10" width="8.5546875" style="199" customWidth="1"/>
    <col min="11" max="12" width="6.33203125" style="199" customWidth="1"/>
    <col min="13" max="16384" width="8.6640625" style="199"/>
  </cols>
  <sheetData>
    <row r="1" spans="1:12" s="91" customFormat="1"/>
    <row r="2" spans="1:12" ht="15.75" customHeight="1">
      <c r="A2" s="198" t="s">
        <v>613</v>
      </c>
      <c r="B2" s="415" t="s">
        <v>729</v>
      </c>
      <c r="C2" s="423"/>
      <c r="D2" s="416"/>
      <c r="E2" s="416"/>
      <c r="F2" s="416"/>
      <c r="G2" s="416"/>
      <c r="H2" s="416"/>
      <c r="I2" s="416"/>
      <c r="J2" s="416"/>
      <c r="K2" s="416"/>
      <c r="L2" s="417"/>
    </row>
    <row r="3" spans="1:12" ht="15.75" customHeight="1">
      <c r="A3" s="200"/>
      <c r="B3" s="201">
        <v>2020</v>
      </c>
      <c r="C3" s="201">
        <v>2025</v>
      </c>
      <c r="D3" s="202">
        <v>2030</v>
      </c>
      <c r="E3" s="202">
        <v>2040</v>
      </c>
      <c r="F3" s="203">
        <v>2050</v>
      </c>
      <c r="G3" s="421" t="s">
        <v>615</v>
      </c>
      <c r="H3" s="422"/>
      <c r="I3" s="418" t="s">
        <v>616</v>
      </c>
      <c r="J3" s="419"/>
      <c r="K3" s="202" t="s">
        <v>454</v>
      </c>
      <c r="L3" s="204" t="s">
        <v>617</v>
      </c>
    </row>
    <row r="4" spans="1:12">
      <c r="A4" s="200"/>
      <c r="B4" s="205"/>
      <c r="C4" s="206"/>
      <c r="D4" s="207"/>
      <c r="E4" s="207"/>
      <c r="F4" s="207"/>
      <c r="G4" s="208" t="s">
        <v>618</v>
      </c>
      <c r="H4" s="208" t="s">
        <v>619</v>
      </c>
      <c r="I4" s="208" t="s">
        <v>618</v>
      </c>
      <c r="J4" s="208" t="s">
        <v>619</v>
      </c>
      <c r="K4" s="207"/>
      <c r="L4" s="209"/>
    </row>
    <row r="5" spans="1:12">
      <c r="A5" s="210" t="s">
        <v>620</v>
      </c>
      <c r="B5" s="207"/>
      <c r="C5" s="207"/>
      <c r="D5" s="207"/>
      <c r="E5" s="207"/>
      <c r="F5" s="207"/>
      <c r="G5" s="207"/>
      <c r="H5" s="207"/>
      <c r="I5" s="207"/>
      <c r="J5" s="207"/>
      <c r="K5" s="207"/>
      <c r="L5" s="209"/>
    </row>
    <row r="6" spans="1:12">
      <c r="A6" s="211" t="s">
        <v>621</v>
      </c>
      <c r="B6" s="212">
        <v>94.5</v>
      </c>
      <c r="C6" s="212">
        <v>94.5</v>
      </c>
      <c r="D6" s="212">
        <v>94.5</v>
      </c>
      <c r="E6" s="212">
        <v>100</v>
      </c>
      <c r="F6" s="212">
        <v>100</v>
      </c>
      <c r="G6" s="212">
        <v>90</v>
      </c>
      <c r="H6" s="212">
        <v>100</v>
      </c>
      <c r="I6" s="212">
        <v>95</v>
      </c>
      <c r="J6" s="212">
        <v>104</v>
      </c>
      <c r="K6" s="212" t="s">
        <v>622</v>
      </c>
      <c r="L6" s="212">
        <v>1</v>
      </c>
    </row>
    <row r="7" spans="1:12">
      <c r="A7" s="240" t="s">
        <v>623</v>
      </c>
      <c r="B7" s="241"/>
      <c r="C7" s="241"/>
      <c r="D7" s="241"/>
      <c r="E7" s="241"/>
      <c r="F7" s="241"/>
      <c r="G7" s="241"/>
      <c r="H7" s="241"/>
      <c r="I7" s="241"/>
      <c r="J7" s="241"/>
      <c r="K7" s="241"/>
      <c r="L7" s="242"/>
    </row>
    <row r="8" spans="1:12">
      <c r="A8" s="211" t="s">
        <v>624</v>
      </c>
      <c r="B8" s="212">
        <v>1.4</v>
      </c>
      <c r="C8" s="212">
        <v>1.4</v>
      </c>
      <c r="D8" s="212">
        <v>1.4</v>
      </c>
      <c r="E8" s="212">
        <v>1.3</v>
      </c>
      <c r="F8" s="212">
        <v>1.3</v>
      </c>
      <c r="G8" s="212">
        <v>1.5</v>
      </c>
      <c r="H8" s="212">
        <v>1.2</v>
      </c>
      <c r="I8" s="212">
        <v>1.4</v>
      </c>
      <c r="J8" s="212">
        <v>1.2</v>
      </c>
      <c r="K8" s="212" t="s">
        <v>627</v>
      </c>
      <c r="L8" s="212"/>
    </row>
    <row r="9" spans="1:12">
      <c r="A9" s="215" t="s">
        <v>705</v>
      </c>
      <c r="B9" s="212">
        <v>74</v>
      </c>
      <c r="C9" s="212">
        <v>74</v>
      </c>
      <c r="D9" s="212">
        <v>74</v>
      </c>
      <c r="E9" s="212">
        <v>74</v>
      </c>
      <c r="F9" s="212">
        <v>74</v>
      </c>
      <c r="G9" s="212">
        <v>65</v>
      </c>
      <c r="H9" s="212">
        <v>80</v>
      </c>
      <c r="I9" s="212">
        <v>74</v>
      </c>
      <c r="J9" s="212">
        <v>80</v>
      </c>
      <c r="K9" s="212"/>
      <c r="L9" s="212">
        <v>1</v>
      </c>
    </row>
    <row r="10" spans="1:12">
      <c r="A10" s="211" t="s">
        <v>706</v>
      </c>
      <c r="B10" s="212">
        <v>2.7</v>
      </c>
      <c r="C10" s="212">
        <v>2.7</v>
      </c>
      <c r="D10" s="212">
        <v>2.7</v>
      </c>
      <c r="E10" s="212">
        <v>2.7</v>
      </c>
      <c r="F10" s="212">
        <v>2.7</v>
      </c>
      <c r="G10" s="212">
        <v>2.5</v>
      </c>
      <c r="H10" s="212">
        <v>6</v>
      </c>
      <c r="I10" s="212">
        <v>2.5</v>
      </c>
      <c r="J10" s="212">
        <v>6</v>
      </c>
      <c r="K10" s="212"/>
      <c r="L10" s="212">
        <v>1</v>
      </c>
    </row>
    <row r="11" spans="1:12">
      <c r="A11" s="217" t="s">
        <v>628</v>
      </c>
      <c r="B11" s="212">
        <v>0</v>
      </c>
      <c r="C11" s="212">
        <v>0</v>
      </c>
      <c r="D11" s="212">
        <v>0</v>
      </c>
      <c r="E11" s="212">
        <v>0</v>
      </c>
      <c r="F11" s="212">
        <v>0</v>
      </c>
      <c r="G11" s="212">
        <v>0</v>
      </c>
      <c r="H11" s="212">
        <v>0</v>
      </c>
      <c r="I11" s="212">
        <v>0</v>
      </c>
      <c r="J11" s="212">
        <v>0</v>
      </c>
      <c r="K11" s="212"/>
      <c r="L11" s="212"/>
    </row>
    <row r="12" spans="1:12">
      <c r="A12" s="219" t="s">
        <v>630</v>
      </c>
      <c r="B12" s="212">
        <v>0</v>
      </c>
      <c r="C12" s="212">
        <v>0</v>
      </c>
      <c r="D12" s="212">
        <v>0</v>
      </c>
      <c r="E12" s="212">
        <v>0</v>
      </c>
      <c r="F12" s="212">
        <v>0</v>
      </c>
      <c r="G12" s="212">
        <v>0</v>
      </c>
      <c r="H12" s="212">
        <v>0</v>
      </c>
      <c r="I12" s="212">
        <v>0</v>
      </c>
      <c r="J12" s="212">
        <v>0</v>
      </c>
      <c r="K12" s="212" t="s">
        <v>629</v>
      </c>
      <c r="L12" s="212"/>
    </row>
    <row r="13" spans="1:12">
      <c r="A13" s="247" t="s">
        <v>707</v>
      </c>
      <c r="B13" s="212">
        <v>0.38</v>
      </c>
      <c r="C13" s="212">
        <v>0.38</v>
      </c>
      <c r="D13" s="212">
        <v>0.38</v>
      </c>
      <c r="E13" s="212">
        <v>0.36</v>
      </c>
      <c r="F13" s="212">
        <v>0.36</v>
      </c>
      <c r="G13" s="212">
        <v>0.41</v>
      </c>
      <c r="H13" s="212">
        <v>0.36</v>
      </c>
      <c r="I13" s="212">
        <v>0.38</v>
      </c>
      <c r="J13" s="212">
        <v>0.35</v>
      </c>
      <c r="K13" s="212"/>
      <c r="L13" s="212"/>
    </row>
    <row r="14" spans="1:12">
      <c r="A14" s="213" t="s">
        <v>634</v>
      </c>
      <c r="B14" s="241"/>
      <c r="C14" s="241"/>
      <c r="D14" s="241"/>
      <c r="E14" s="241"/>
      <c r="F14" s="241"/>
      <c r="G14" s="241"/>
      <c r="H14" s="241"/>
      <c r="I14" s="241"/>
      <c r="J14" s="241"/>
      <c r="K14" s="241"/>
      <c r="L14" s="242"/>
    </row>
    <row r="15" spans="1:12">
      <c r="A15" s="221" t="s">
        <v>635</v>
      </c>
      <c r="B15" s="243">
        <f>B9</f>
        <v>74</v>
      </c>
      <c r="C15" s="243">
        <f>C9</f>
        <v>74</v>
      </c>
      <c r="D15" s="243">
        <f>D9</f>
        <v>74</v>
      </c>
      <c r="E15" s="243">
        <f>E9</f>
        <v>74</v>
      </c>
      <c r="F15" s="243">
        <f>F9</f>
        <v>74</v>
      </c>
      <c r="G15" s="218">
        <v>65</v>
      </c>
      <c r="H15" s="218">
        <v>80</v>
      </c>
      <c r="I15" s="218">
        <v>74</v>
      </c>
      <c r="J15" s="218">
        <v>85</v>
      </c>
      <c r="K15" s="218"/>
      <c r="L15" s="218"/>
    </row>
    <row r="16" spans="1:12">
      <c r="A16" s="221" t="s">
        <v>637</v>
      </c>
      <c r="B16" s="243">
        <v>100</v>
      </c>
      <c r="C16" s="243">
        <v>100</v>
      </c>
      <c r="D16" s="243">
        <v>100</v>
      </c>
      <c r="E16" s="243">
        <v>100</v>
      </c>
      <c r="F16" s="243">
        <v>100</v>
      </c>
      <c r="G16" s="243">
        <v>100</v>
      </c>
      <c r="H16" s="243">
        <v>100</v>
      </c>
      <c r="I16" s="243">
        <v>100</v>
      </c>
      <c r="J16" s="243">
        <v>100</v>
      </c>
      <c r="K16" s="218"/>
      <c r="L16" s="218"/>
    </row>
    <row r="17" spans="1:12">
      <c r="A17" s="211" t="s">
        <v>639</v>
      </c>
      <c r="B17" s="243">
        <v>90</v>
      </c>
      <c r="C17" s="243">
        <v>90</v>
      </c>
      <c r="D17" s="218">
        <v>90</v>
      </c>
      <c r="E17" s="218">
        <v>95</v>
      </c>
      <c r="F17" s="218">
        <v>95</v>
      </c>
      <c r="G17" s="218">
        <v>85</v>
      </c>
      <c r="H17" s="218">
        <v>95</v>
      </c>
      <c r="I17" s="218">
        <v>90</v>
      </c>
      <c r="J17" s="218">
        <v>99</v>
      </c>
      <c r="K17" s="218" t="s">
        <v>631</v>
      </c>
      <c r="L17" s="218">
        <v>1</v>
      </c>
    </row>
    <row r="18" spans="1:12">
      <c r="A18" s="211" t="s">
        <v>708</v>
      </c>
      <c r="B18" s="243">
        <v>0.06</v>
      </c>
      <c r="C18" s="243">
        <v>0.06</v>
      </c>
      <c r="D18" s="243">
        <v>0.06</v>
      </c>
      <c r="E18" s="243">
        <v>0.06</v>
      </c>
      <c r="F18" s="243">
        <v>0.06</v>
      </c>
      <c r="G18" s="218">
        <v>0.05</v>
      </c>
      <c r="H18" s="218">
        <v>0.1</v>
      </c>
      <c r="I18" s="218">
        <v>0.05</v>
      </c>
      <c r="J18" s="218">
        <v>0.1</v>
      </c>
      <c r="K18" s="218" t="s">
        <v>636</v>
      </c>
      <c r="L18" s="218"/>
    </row>
    <row r="19" spans="1:12">
      <c r="A19" s="211" t="s">
        <v>709</v>
      </c>
      <c r="B19" s="212"/>
      <c r="C19" s="212"/>
      <c r="D19" s="212"/>
      <c r="E19" s="212"/>
      <c r="F19" s="212"/>
      <c r="G19" s="212"/>
      <c r="H19" s="212"/>
      <c r="I19" s="212"/>
      <c r="J19" s="212"/>
      <c r="K19" s="212"/>
      <c r="L19" s="212"/>
    </row>
    <row r="20" spans="1:12">
      <c r="A20" s="215" t="s">
        <v>710</v>
      </c>
      <c r="B20" s="212"/>
      <c r="C20" s="212"/>
      <c r="D20" s="212"/>
      <c r="E20" s="212"/>
      <c r="F20" s="212"/>
      <c r="G20" s="212"/>
      <c r="H20" s="212"/>
      <c r="I20" s="212"/>
      <c r="J20" s="212"/>
      <c r="K20" s="212"/>
      <c r="L20" s="212"/>
    </row>
    <row r="21" spans="1:12">
      <c r="A21" s="213" t="s">
        <v>645</v>
      </c>
      <c r="B21" s="243"/>
      <c r="C21" s="243"/>
      <c r="D21" s="218"/>
      <c r="E21" s="218"/>
      <c r="F21" s="218"/>
      <c r="G21" s="218"/>
      <c r="H21" s="218"/>
      <c r="I21" s="218"/>
      <c r="J21" s="218"/>
      <c r="K21" s="218"/>
      <c r="L21" s="218"/>
    </row>
    <row r="22" spans="1:12">
      <c r="A22" s="211" t="s">
        <v>646</v>
      </c>
      <c r="B22" s="252">
        <v>0.05</v>
      </c>
      <c r="C22" s="252">
        <v>0.05</v>
      </c>
      <c r="D22" s="246">
        <v>0.04</v>
      </c>
      <c r="E22" s="246">
        <v>0.03</v>
      </c>
      <c r="F22" s="246">
        <v>0.03</v>
      </c>
      <c r="G22" s="246">
        <v>0.03</v>
      </c>
      <c r="H22" s="246">
        <v>0.05</v>
      </c>
      <c r="I22" s="246">
        <v>0.03</v>
      </c>
      <c r="J22" s="246">
        <v>0.05</v>
      </c>
      <c r="K22" s="212"/>
      <c r="L22" s="212"/>
    </row>
    <row r="23" spans="1:12">
      <c r="A23" s="211" t="s">
        <v>647</v>
      </c>
      <c r="B23" s="253">
        <v>3</v>
      </c>
      <c r="C23" s="253">
        <v>3</v>
      </c>
      <c r="D23" s="212">
        <v>3</v>
      </c>
      <c r="E23" s="212">
        <v>2</v>
      </c>
      <c r="F23" s="212">
        <v>2</v>
      </c>
      <c r="G23" s="212">
        <v>2</v>
      </c>
      <c r="H23" s="212">
        <v>4</v>
      </c>
      <c r="I23" s="212">
        <v>2</v>
      </c>
      <c r="J23" s="212">
        <v>3</v>
      </c>
      <c r="K23" s="212"/>
      <c r="L23" s="212"/>
    </row>
    <row r="24" spans="1:12">
      <c r="A24" s="211" t="s">
        <v>648</v>
      </c>
      <c r="B24" s="212">
        <v>25</v>
      </c>
      <c r="C24" s="212">
        <v>25</v>
      </c>
      <c r="D24" s="212">
        <v>25</v>
      </c>
      <c r="E24" s="212">
        <v>25</v>
      </c>
      <c r="F24" s="212">
        <v>25</v>
      </c>
      <c r="G24" s="212">
        <v>25</v>
      </c>
      <c r="H24" s="212">
        <v>25</v>
      </c>
      <c r="I24" s="212">
        <v>25</v>
      </c>
      <c r="J24" s="212">
        <v>25</v>
      </c>
      <c r="K24" s="212"/>
      <c r="L24" s="212"/>
    </row>
    <row r="25" spans="1:12">
      <c r="A25" s="211"/>
      <c r="B25" s="212"/>
      <c r="C25" s="212"/>
      <c r="D25" s="212"/>
      <c r="E25" s="212"/>
      <c r="F25" s="212"/>
      <c r="G25" s="212"/>
      <c r="H25" s="212"/>
      <c r="I25" s="212"/>
      <c r="J25" s="212"/>
      <c r="K25" s="212"/>
      <c r="L25" s="212"/>
    </row>
    <row r="26" spans="1:12" ht="14.7" customHeight="1">
      <c r="A26" s="210" t="s">
        <v>650</v>
      </c>
      <c r="B26" s="227"/>
      <c r="C26" s="227"/>
      <c r="D26" s="227"/>
      <c r="E26" s="227"/>
      <c r="F26" s="227"/>
      <c r="G26" s="227"/>
      <c r="H26" s="227"/>
      <c r="I26" s="227"/>
      <c r="J26" s="260"/>
      <c r="K26" s="227"/>
      <c r="L26" s="228"/>
    </row>
    <row r="27" spans="1:12">
      <c r="A27" s="211" t="s">
        <v>651</v>
      </c>
      <c r="B27" s="218">
        <v>1.2</v>
      </c>
      <c r="C27" s="218">
        <v>1.2</v>
      </c>
      <c r="D27" s="255">
        <v>1.1499999999999999</v>
      </c>
      <c r="E27" s="255">
        <v>1.05</v>
      </c>
      <c r="F27" s="254">
        <v>1</v>
      </c>
      <c r="G27" s="254">
        <v>1</v>
      </c>
      <c r="H27" s="218">
        <v>1.8</v>
      </c>
      <c r="I27" s="218">
        <v>0.8</v>
      </c>
      <c r="J27" s="237">
        <v>1.4</v>
      </c>
      <c r="K27" s="218" t="s">
        <v>638</v>
      </c>
      <c r="L27" s="218"/>
    </row>
    <row r="28" spans="1:12">
      <c r="A28" s="215" t="s">
        <v>711</v>
      </c>
      <c r="B28" s="212"/>
      <c r="C28" s="212"/>
      <c r="D28" s="212"/>
      <c r="E28" s="212"/>
      <c r="F28" s="215"/>
      <c r="G28" s="212"/>
      <c r="H28" s="212"/>
      <c r="I28" s="212"/>
      <c r="J28" s="216"/>
      <c r="K28" s="218"/>
      <c r="L28" s="212"/>
    </row>
    <row r="29" spans="1:12">
      <c r="A29" s="211" t="s">
        <v>712</v>
      </c>
      <c r="B29" s="212"/>
      <c r="C29" s="212"/>
      <c r="D29" s="212"/>
      <c r="E29" s="212"/>
      <c r="F29" s="211"/>
      <c r="G29" s="212"/>
      <c r="H29" s="212"/>
      <c r="I29" s="212"/>
      <c r="J29" s="212"/>
      <c r="K29" s="218"/>
      <c r="L29" s="212"/>
    </row>
    <row r="30" spans="1:12">
      <c r="A30" s="222" t="s">
        <v>661</v>
      </c>
      <c r="B30" s="256">
        <f>B27*0.03</f>
        <v>3.5999999999999997E-2</v>
      </c>
      <c r="C30" s="256">
        <f t="shared" ref="C30:J30" si="0">C27*0.03</f>
        <v>3.5999999999999997E-2</v>
      </c>
      <c r="D30" s="256">
        <f t="shared" si="0"/>
        <v>3.4499999999999996E-2</v>
      </c>
      <c r="E30" s="256">
        <f t="shared" si="0"/>
        <v>3.15E-2</v>
      </c>
      <c r="F30" s="256">
        <f t="shared" si="0"/>
        <v>0.03</v>
      </c>
      <c r="G30" s="256">
        <f t="shared" si="0"/>
        <v>0.03</v>
      </c>
      <c r="H30" s="256">
        <f t="shared" si="0"/>
        <v>5.3999999999999999E-2</v>
      </c>
      <c r="I30" s="256">
        <f t="shared" si="0"/>
        <v>2.4E-2</v>
      </c>
      <c r="J30" s="256">
        <f t="shared" si="0"/>
        <v>4.1999999999999996E-2</v>
      </c>
      <c r="K30" s="218" t="s">
        <v>640</v>
      </c>
      <c r="L30" s="218"/>
    </row>
    <row r="31" spans="1:12">
      <c r="A31" s="215" t="s">
        <v>713</v>
      </c>
      <c r="B31" s="218">
        <v>2</v>
      </c>
      <c r="C31" s="218">
        <v>2</v>
      </c>
      <c r="D31" s="218">
        <v>2</v>
      </c>
      <c r="E31" s="218">
        <v>2</v>
      </c>
      <c r="F31" s="218">
        <v>2</v>
      </c>
      <c r="G31" s="218">
        <v>2</v>
      </c>
      <c r="H31" s="218">
        <v>2</v>
      </c>
      <c r="I31" s="218">
        <v>2</v>
      </c>
      <c r="J31" s="218">
        <v>2</v>
      </c>
      <c r="K31" s="218" t="s">
        <v>643</v>
      </c>
      <c r="L31" s="218"/>
    </row>
    <row r="32" spans="1:12">
      <c r="A32" s="221" t="s">
        <v>730</v>
      </c>
      <c r="B32" s="218">
        <v>30</v>
      </c>
      <c r="C32" s="218">
        <v>30</v>
      </c>
      <c r="D32" s="218">
        <v>30</v>
      </c>
      <c r="E32" s="218">
        <v>30</v>
      </c>
      <c r="F32" s="218">
        <v>30</v>
      </c>
      <c r="G32" s="218">
        <v>30</v>
      </c>
      <c r="H32" s="218">
        <v>30</v>
      </c>
      <c r="I32" s="218">
        <v>30</v>
      </c>
      <c r="J32" s="218">
        <v>30</v>
      </c>
      <c r="K32" s="218" t="s">
        <v>652</v>
      </c>
      <c r="L32" s="218"/>
    </row>
    <row r="33" spans="1:12">
      <c r="A33" s="261"/>
      <c r="B33" s="218"/>
      <c r="C33" s="218"/>
      <c r="D33" s="218"/>
      <c r="E33" s="218"/>
      <c r="F33" s="237"/>
      <c r="G33" s="218"/>
      <c r="H33" s="218"/>
      <c r="I33" s="218"/>
      <c r="J33" s="237"/>
      <c r="K33" s="218"/>
      <c r="L33" s="218"/>
    </row>
    <row r="34" spans="1:12">
      <c r="A34" s="210" t="s">
        <v>665</v>
      </c>
      <c r="B34" s="212"/>
      <c r="C34" s="212"/>
      <c r="D34" s="212"/>
      <c r="E34" s="212"/>
      <c r="F34" s="215"/>
      <c r="G34" s="212"/>
      <c r="H34" s="212"/>
      <c r="I34" s="212"/>
      <c r="J34" s="216"/>
      <c r="K34" s="218"/>
      <c r="L34" s="212"/>
    </row>
    <row r="35" spans="1:12">
      <c r="A35" s="211" t="s">
        <v>714</v>
      </c>
      <c r="B35" s="212">
        <v>0.3</v>
      </c>
      <c r="C35" s="212">
        <v>0.3</v>
      </c>
      <c r="D35" s="212">
        <v>0.28000000000000003</v>
      </c>
      <c r="E35" s="212">
        <v>0.26</v>
      </c>
      <c r="F35" s="212">
        <v>0.24</v>
      </c>
      <c r="G35" s="212">
        <v>0.25</v>
      </c>
      <c r="H35" s="212">
        <v>0.35</v>
      </c>
      <c r="I35" s="212">
        <v>0.22</v>
      </c>
      <c r="J35" s="216">
        <v>0.3</v>
      </c>
      <c r="K35" s="218" t="s">
        <v>654</v>
      </c>
      <c r="L35" s="212"/>
    </row>
    <row r="36" spans="1:12">
      <c r="A36" s="221" t="s">
        <v>715</v>
      </c>
      <c r="B36" s="212">
        <v>8.5999999999999993E-2</v>
      </c>
      <c r="C36" s="212">
        <v>8.5999999999999993E-2</v>
      </c>
      <c r="D36" s="212">
        <v>0.08</v>
      </c>
      <c r="E36" s="212">
        <v>7.4999999999999997E-2</v>
      </c>
      <c r="F36" s="212">
        <v>0.7</v>
      </c>
      <c r="G36" s="212">
        <v>0.08</v>
      </c>
      <c r="H36" s="212">
        <v>0.09</v>
      </c>
      <c r="I36" s="212">
        <v>0.6</v>
      </c>
      <c r="J36" s="212">
        <v>0.08</v>
      </c>
      <c r="K36" s="218"/>
      <c r="L36" s="223"/>
    </row>
    <row r="37" spans="1:12">
      <c r="A37" s="247" t="s">
        <v>716</v>
      </c>
      <c r="B37" s="237">
        <v>0.18</v>
      </c>
      <c r="C37" s="237">
        <v>0.18</v>
      </c>
      <c r="D37" s="237">
        <v>0.17</v>
      </c>
      <c r="E37" s="237">
        <v>0.16</v>
      </c>
      <c r="F37" s="237">
        <v>0.15</v>
      </c>
      <c r="G37" s="212">
        <v>0.16</v>
      </c>
      <c r="H37" s="212">
        <v>0.2</v>
      </c>
      <c r="I37" s="212">
        <v>0.12</v>
      </c>
      <c r="J37" s="212">
        <v>0.18</v>
      </c>
      <c r="K37" s="218"/>
      <c r="L37" s="212"/>
    </row>
    <row r="38" spans="1:12">
      <c r="A38" s="221" t="s">
        <v>717</v>
      </c>
      <c r="B38" s="212">
        <v>0.3</v>
      </c>
      <c r="C38" s="212">
        <v>0.3</v>
      </c>
      <c r="D38" s="212">
        <v>0.28999999999999998</v>
      </c>
      <c r="E38" s="212">
        <v>0.27</v>
      </c>
      <c r="F38" s="212">
        <v>0.25</v>
      </c>
      <c r="G38" s="212">
        <v>0.25</v>
      </c>
      <c r="H38" s="212">
        <v>0.35</v>
      </c>
      <c r="I38" s="212">
        <v>0.2</v>
      </c>
      <c r="J38" s="212">
        <v>0.3</v>
      </c>
      <c r="K38" s="212"/>
      <c r="L38" s="212"/>
    </row>
    <row r="39" spans="1:12">
      <c r="A39" s="230"/>
    </row>
    <row r="40" spans="1:12">
      <c r="A40" s="231" t="s">
        <v>669</v>
      </c>
    </row>
    <row r="41" spans="1:12">
      <c r="A41" s="199">
        <v>1</v>
      </c>
      <c r="B41" s="199" t="s">
        <v>731</v>
      </c>
    </row>
    <row r="42" spans="1:12">
      <c r="A42" s="199">
        <v>2</v>
      </c>
    </row>
    <row r="43" spans="1:12">
      <c r="A43" s="199">
        <v>3</v>
      </c>
    </row>
    <row r="46" spans="1:12">
      <c r="A46" s="235" t="s">
        <v>670</v>
      </c>
    </row>
    <row r="47" spans="1:12">
      <c r="A47" s="236" t="s">
        <v>622</v>
      </c>
      <c r="B47" s="199" t="s">
        <v>732</v>
      </c>
    </row>
    <row r="48" spans="1:12">
      <c r="A48" s="236" t="s">
        <v>627</v>
      </c>
      <c r="B48" s="199" t="s">
        <v>733</v>
      </c>
    </row>
    <row r="49" spans="1:2">
      <c r="A49" s="236" t="s">
        <v>629</v>
      </c>
      <c r="B49" s="199" t="s">
        <v>720</v>
      </c>
    </row>
    <row r="50" spans="1:2">
      <c r="A50" s="236" t="s">
        <v>631</v>
      </c>
      <c r="B50" s="199" t="s">
        <v>734</v>
      </c>
    </row>
    <row r="51" spans="1:2">
      <c r="A51" s="236" t="s">
        <v>636</v>
      </c>
      <c r="B51" s="199" t="s">
        <v>735</v>
      </c>
    </row>
    <row r="52" spans="1:2">
      <c r="A52" s="236" t="s">
        <v>638</v>
      </c>
      <c r="B52" s="199" t="s">
        <v>736</v>
      </c>
    </row>
    <row r="53" spans="1:2">
      <c r="A53" s="236" t="s">
        <v>640</v>
      </c>
      <c r="B53" s="199" t="s">
        <v>725</v>
      </c>
    </row>
    <row r="54" spans="1:2">
      <c r="A54" s="236" t="s">
        <v>643</v>
      </c>
      <c r="B54" s="199" t="s">
        <v>737</v>
      </c>
    </row>
    <row r="55" spans="1:2">
      <c r="A55" s="236" t="s">
        <v>652</v>
      </c>
      <c r="B55" s="199" t="s">
        <v>738</v>
      </c>
    </row>
    <row r="56" spans="1:2">
      <c r="A56" s="236" t="s">
        <v>654</v>
      </c>
      <c r="B56" s="199" t="s">
        <v>739</v>
      </c>
    </row>
  </sheetData>
  <mergeCells count="3">
    <mergeCell ref="B2:L2"/>
    <mergeCell ref="G3:H3"/>
    <mergeCell ref="I3:J3"/>
  </mergeCells>
  <hyperlinks>
    <hyperlink ref="B2" location="INDEX" display="Oxy-fuel carbon caputre - Retrofit 3000 ton clinker per day cement kiln excluding ASU" xr:uid="{91031B5F-5321-43A8-A235-D09A82412A28}"/>
  </hyperlinks>
  <pageMargins left="0.25" right="0.25"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BA6B2-B951-4D93-8F25-C9314299BB13}">
  <sheetPr>
    <tabColor theme="5" tint="0.59999389629810485"/>
  </sheetPr>
  <dimension ref="A1:Q56"/>
  <sheetViews>
    <sheetView zoomScale="130" zoomScaleNormal="130" workbookViewId="0">
      <selection activeCell="B24" sqref="B24"/>
    </sheetView>
  </sheetViews>
  <sheetFormatPr defaultColWidth="8.6640625" defaultRowHeight="14.4"/>
  <cols>
    <col min="1" max="1" width="40.6640625" style="199" customWidth="1"/>
    <col min="2" max="10" width="8.5546875" style="199" customWidth="1"/>
    <col min="11" max="12" width="6.33203125" style="199" customWidth="1"/>
    <col min="13" max="13" width="8.6640625" style="199"/>
    <col min="14" max="14" width="10" style="199" bestFit="1" customWidth="1"/>
    <col min="15" max="15" width="8.88671875" style="199" bestFit="1" customWidth="1"/>
    <col min="16" max="16" width="10.109375" style="199" bestFit="1" customWidth="1"/>
    <col min="17" max="16384" width="8.6640625" style="199"/>
  </cols>
  <sheetData>
    <row r="1" spans="1:17" s="91" customFormat="1"/>
    <row r="2" spans="1:17" ht="15.75" customHeight="1">
      <c r="A2" s="198" t="s">
        <v>613</v>
      </c>
      <c r="B2" s="415" t="s">
        <v>740</v>
      </c>
      <c r="C2" s="423"/>
      <c r="D2" s="416"/>
      <c r="E2" s="416"/>
      <c r="F2" s="416"/>
      <c r="G2" s="416"/>
      <c r="H2" s="416"/>
      <c r="I2" s="416"/>
      <c r="J2" s="416"/>
      <c r="K2" s="416"/>
      <c r="L2" s="417"/>
    </row>
    <row r="3" spans="1:17" ht="15.75" customHeight="1">
      <c r="A3" s="200"/>
      <c r="B3" s="201">
        <v>2020</v>
      </c>
      <c r="C3" s="201">
        <v>2025</v>
      </c>
      <c r="D3" s="202">
        <v>2030</v>
      </c>
      <c r="E3" s="202">
        <v>2040</v>
      </c>
      <c r="F3" s="203">
        <v>2050</v>
      </c>
      <c r="G3" s="421" t="s">
        <v>615</v>
      </c>
      <c r="H3" s="422"/>
      <c r="I3" s="418" t="s">
        <v>616</v>
      </c>
      <c r="J3" s="419"/>
      <c r="K3" s="202" t="s">
        <v>454</v>
      </c>
      <c r="L3" s="204" t="s">
        <v>617</v>
      </c>
    </row>
    <row r="4" spans="1:17">
      <c r="A4" s="200"/>
      <c r="B4" s="205"/>
      <c r="C4" s="206"/>
      <c r="D4" s="207"/>
      <c r="E4" s="207"/>
      <c r="F4" s="207"/>
      <c r="G4" s="208" t="s">
        <v>618</v>
      </c>
      <c r="H4" s="208" t="s">
        <v>619</v>
      </c>
      <c r="I4" s="208" t="s">
        <v>618</v>
      </c>
      <c r="J4" s="208" t="s">
        <v>619</v>
      </c>
      <c r="K4" s="207"/>
      <c r="L4" s="209"/>
    </row>
    <row r="5" spans="1:17">
      <c r="A5" s="210" t="s">
        <v>620</v>
      </c>
      <c r="B5" s="207"/>
      <c r="C5" s="207"/>
      <c r="D5" s="207"/>
      <c r="E5" s="207"/>
      <c r="F5" s="207"/>
      <c r="G5" s="207"/>
      <c r="H5" s="207"/>
      <c r="I5" s="207"/>
      <c r="J5" s="207"/>
      <c r="K5" s="207"/>
      <c r="L5" s="209"/>
    </row>
    <row r="6" spans="1:17">
      <c r="A6" s="211" t="s">
        <v>621</v>
      </c>
      <c r="B6" s="212">
        <v>0.1</v>
      </c>
      <c r="C6" s="212">
        <v>0.2</v>
      </c>
      <c r="D6" s="212">
        <v>2</v>
      </c>
      <c r="E6" s="212">
        <v>50</v>
      </c>
      <c r="F6" s="212">
        <v>125</v>
      </c>
      <c r="G6" s="212">
        <v>0.1</v>
      </c>
      <c r="H6" s="212">
        <v>0.4</v>
      </c>
      <c r="I6" s="212">
        <v>50</v>
      </c>
      <c r="J6" s="212">
        <v>200</v>
      </c>
      <c r="K6" s="212" t="s">
        <v>622</v>
      </c>
      <c r="L6" s="212">
        <v>1</v>
      </c>
    </row>
    <row r="7" spans="1:17">
      <c r="A7" s="240" t="s">
        <v>623</v>
      </c>
      <c r="B7" s="241"/>
      <c r="C7" s="241"/>
      <c r="D7" s="241"/>
      <c r="E7" s="241"/>
      <c r="F7" s="241"/>
      <c r="G7" s="241"/>
      <c r="H7" s="241"/>
      <c r="I7" s="241"/>
      <c r="J7" s="241"/>
      <c r="K7" s="241"/>
      <c r="L7" s="242"/>
    </row>
    <row r="8" spans="1:17">
      <c r="A8" s="211" t="s">
        <v>741</v>
      </c>
      <c r="B8" s="243">
        <v>3300</v>
      </c>
      <c r="C8" s="243">
        <v>3300</v>
      </c>
      <c r="D8" s="218">
        <v>2800</v>
      </c>
      <c r="E8" s="218">
        <v>2400</v>
      </c>
      <c r="F8" s="218">
        <v>2100</v>
      </c>
      <c r="G8" s="218">
        <v>3000</v>
      </c>
      <c r="H8" s="218">
        <v>3600</v>
      </c>
      <c r="I8" s="218">
        <v>2000</v>
      </c>
      <c r="J8" s="218">
        <v>3000</v>
      </c>
      <c r="K8" s="218" t="s">
        <v>627</v>
      </c>
      <c r="L8" s="218"/>
    </row>
    <row r="9" spans="1:17">
      <c r="A9" s="217" t="s">
        <v>628</v>
      </c>
      <c r="B9" s="253">
        <v>2.5</v>
      </c>
      <c r="C9" s="253">
        <v>2.5</v>
      </c>
      <c r="D9" s="262">
        <v>2</v>
      </c>
      <c r="E9" s="212">
        <v>1.5</v>
      </c>
      <c r="F9" s="212">
        <v>1.5</v>
      </c>
      <c r="G9" s="212">
        <v>1.5</v>
      </c>
      <c r="H9" s="212">
        <v>2.5</v>
      </c>
      <c r="I9" s="212">
        <v>1.4</v>
      </c>
      <c r="J9" s="262">
        <v>2</v>
      </c>
      <c r="K9" s="212" t="s">
        <v>629</v>
      </c>
      <c r="L9" s="212" t="s">
        <v>742</v>
      </c>
      <c r="P9" s="199">
        <f>E9*300</f>
        <v>450</v>
      </c>
      <c r="Q9" s="199" t="s">
        <v>971</v>
      </c>
    </row>
    <row r="10" spans="1:17">
      <c r="A10" s="219" t="s">
        <v>630</v>
      </c>
      <c r="B10" s="253">
        <v>0.35</v>
      </c>
      <c r="C10" s="253">
        <v>0.35</v>
      </c>
      <c r="D10" s="253">
        <v>0.32</v>
      </c>
      <c r="E10" s="253">
        <v>0.3</v>
      </c>
      <c r="F10" s="253">
        <v>0.28000000000000003</v>
      </c>
      <c r="G10" s="229">
        <v>0.2</v>
      </c>
      <c r="H10" s="229">
        <v>0.5</v>
      </c>
      <c r="I10" s="212">
        <v>0.25</v>
      </c>
      <c r="J10" s="212">
        <v>0.35</v>
      </c>
      <c r="K10" s="212" t="s">
        <v>631</v>
      </c>
      <c r="L10" s="212" t="s">
        <v>742</v>
      </c>
      <c r="P10" s="199">
        <f>E10*600</f>
        <v>180</v>
      </c>
      <c r="Q10" s="199" t="s">
        <v>971</v>
      </c>
    </row>
    <row r="11" spans="1:17">
      <c r="A11" s="211" t="s">
        <v>633</v>
      </c>
      <c r="B11" s="253"/>
      <c r="C11" s="253"/>
      <c r="D11" s="212"/>
      <c r="E11" s="212"/>
      <c r="F11" s="212"/>
      <c r="G11" s="212"/>
      <c r="H11" s="212"/>
      <c r="I11" s="212"/>
      <c r="J11" s="212"/>
      <c r="K11" s="212"/>
      <c r="L11" s="212"/>
      <c r="P11" s="199">
        <f>SUM(P9:P10)</f>
        <v>630</v>
      </c>
      <c r="Q11" s="199" t="s">
        <v>971</v>
      </c>
    </row>
    <row r="12" spans="1:17">
      <c r="A12" s="213" t="s">
        <v>634</v>
      </c>
      <c r="B12" s="227"/>
      <c r="C12" s="227"/>
      <c r="D12" s="227"/>
      <c r="E12" s="227"/>
      <c r="F12" s="227"/>
      <c r="G12" s="227"/>
      <c r="H12" s="227"/>
      <c r="I12" s="227"/>
      <c r="J12" s="227"/>
      <c r="K12" s="227"/>
      <c r="L12" s="228"/>
      <c r="P12" s="199">
        <f>E24*1000000*7.45/(E21*8760*0.95)</f>
        <v>223.80437394857006</v>
      </c>
      <c r="Q12" s="199" t="s">
        <v>971</v>
      </c>
    </row>
    <row r="13" spans="1:17">
      <c r="A13" s="221" t="s">
        <v>635</v>
      </c>
      <c r="B13" s="243">
        <v>99.9</v>
      </c>
      <c r="C13" s="243">
        <v>99.9</v>
      </c>
      <c r="D13" s="243">
        <v>99.9</v>
      </c>
      <c r="E13" s="243">
        <v>99.9</v>
      </c>
      <c r="F13" s="243">
        <v>99.9</v>
      </c>
      <c r="G13" s="218"/>
      <c r="H13" s="218"/>
      <c r="I13" s="218"/>
      <c r="J13" s="218"/>
      <c r="K13" s="218" t="s">
        <v>636</v>
      </c>
      <c r="L13" s="218">
        <v>2.4</v>
      </c>
      <c r="P13" s="199">
        <f>P12+P11</f>
        <v>853.80437394857006</v>
      </c>
      <c r="Q13" s="199" t="s">
        <v>971</v>
      </c>
    </row>
    <row r="14" spans="1:17">
      <c r="A14" s="221" t="s">
        <v>637</v>
      </c>
      <c r="B14" s="243">
        <v>20</v>
      </c>
      <c r="C14" s="243">
        <v>20</v>
      </c>
      <c r="D14" s="243">
        <v>20</v>
      </c>
      <c r="E14" s="243">
        <v>20</v>
      </c>
      <c r="F14" s="218">
        <v>20</v>
      </c>
      <c r="G14" s="218"/>
      <c r="H14" s="218"/>
      <c r="I14" s="218"/>
      <c r="J14" s="218"/>
      <c r="K14" s="218"/>
      <c r="L14" s="218">
        <v>2</v>
      </c>
      <c r="P14" s="199">
        <f>E27*1000000/8760</f>
        <v>28.253424657534246</v>
      </c>
      <c r="Q14" s="199" t="s">
        <v>971</v>
      </c>
    </row>
    <row r="15" spans="1:17">
      <c r="A15" s="221" t="s">
        <v>708</v>
      </c>
      <c r="B15" s="243">
        <v>1</v>
      </c>
      <c r="C15" s="243">
        <v>1</v>
      </c>
      <c r="D15" s="243">
        <v>1</v>
      </c>
      <c r="E15" s="243">
        <v>1</v>
      </c>
      <c r="F15" s="243">
        <v>1</v>
      </c>
      <c r="G15" s="218">
        <v>0.5</v>
      </c>
      <c r="H15" s="218">
        <v>1.5</v>
      </c>
      <c r="I15" s="218">
        <v>0.5</v>
      </c>
      <c r="J15" s="218">
        <v>1.5</v>
      </c>
      <c r="K15" s="218" t="s">
        <v>638</v>
      </c>
      <c r="L15" s="218">
        <v>1</v>
      </c>
      <c r="P15" s="199">
        <f>P14+P13</f>
        <v>882.05779860610426</v>
      </c>
      <c r="Q15" s="199" t="s">
        <v>971</v>
      </c>
    </row>
    <row r="16" spans="1:17">
      <c r="A16" s="211" t="s">
        <v>641</v>
      </c>
      <c r="B16" s="253">
        <v>1.25</v>
      </c>
      <c r="C16" s="253">
        <v>1.25</v>
      </c>
      <c r="D16" s="212">
        <v>1</v>
      </c>
      <c r="E16" s="212">
        <v>0.75</v>
      </c>
      <c r="F16" s="212">
        <v>0.75</v>
      </c>
      <c r="G16" s="212">
        <v>0.75</v>
      </c>
      <c r="H16" s="253">
        <v>1.25</v>
      </c>
      <c r="I16" s="212">
        <v>0.7</v>
      </c>
      <c r="J16" s="212">
        <v>1</v>
      </c>
      <c r="K16" s="212" t="s">
        <v>640</v>
      </c>
      <c r="L16" s="212"/>
    </row>
    <row r="17" spans="1:17">
      <c r="A17" s="215" t="s">
        <v>642</v>
      </c>
      <c r="B17" s="253">
        <v>50</v>
      </c>
      <c r="C17" s="253">
        <v>50</v>
      </c>
      <c r="D17" s="253">
        <v>50</v>
      </c>
      <c r="E17" s="253">
        <v>50</v>
      </c>
      <c r="F17" s="253">
        <v>50</v>
      </c>
      <c r="G17" s="212">
        <v>20</v>
      </c>
      <c r="H17" s="212">
        <v>70</v>
      </c>
      <c r="I17" s="212">
        <v>20</v>
      </c>
      <c r="J17" s="212">
        <v>70</v>
      </c>
      <c r="K17" s="212" t="s">
        <v>643</v>
      </c>
      <c r="L17" s="212"/>
      <c r="P17" s="199">
        <f>P15/7.45</f>
        <v>118.39701994712809</v>
      </c>
      <c r="Q17" s="199" t="s">
        <v>972</v>
      </c>
    </row>
    <row r="18" spans="1:17">
      <c r="A18" s="213" t="s">
        <v>645</v>
      </c>
      <c r="B18" s="253"/>
      <c r="C18" s="253"/>
      <c r="D18" s="212"/>
      <c r="E18" s="212"/>
      <c r="F18" s="212"/>
      <c r="G18" s="212"/>
      <c r="H18" s="212"/>
      <c r="I18" s="212"/>
      <c r="J18" s="212"/>
      <c r="K18" s="212"/>
      <c r="L18" s="212"/>
    </row>
    <row r="19" spans="1:17">
      <c r="A19" s="211" t="s">
        <v>646</v>
      </c>
      <c r="B19" s="212">
        <v>5</v>
      </c>
      <c r="C19" s="212">
        <v>5</v>
      </c>
      <c r="D19" s="212">
        <v>3</v>
      </c>
      <c r="E19" s="212">
        <v>3</v>
      </c>
      <c r="F19" s="212">
        <v>3</v>
      </c>
      <c r="G19" s="212">
        <v>3</v>
      </c>
      <c r="H19" s="212">
        <v>3</v>
      </c>
      <c r="I19" s="212">
        <v>3</v>
      </c>
      <c r="J19" s="212">
        <v>3</v>
      </c>
      <c r="K19" s="212" t="s">
        <v>652</v>
      </c>
      <c r="L19" s="212"/>
    </row>
    <row r="20" spans="1:17">
      <c r="A20" s="211" t="s">
        <v>647</v>
      </c>
      <c r="B20" s="253">
        <v>3</v>
      </c>
      <c r="C20" s="253">
        <v>3</v>
      </c>
      <c r="D20" s="253">
        <v>3</v>
      </c>
      <c r="E20" s="253">
        <v>3</v>
      </c>
      <c r="F20" s="253">
        <v>3</v>
      </c>
      <c r="G20" s="253">
        <v>3</v>
      </c>
      <c r="H20" s="253">
        <v>3</v>
      </c>
      <c r="I20" s="212">
        <v>3</v>
      </c>
      <c r="J20" s="212">
        <v>3</v>
      </c>
      <c r="K20" s="212" t="s">
        <v>652</v>
      </c>
      <c r="L20" s="212"/>
    </row>
    <row r="21" spans="1:17">
      <c r="A21" s="211" t="s">
        <v>648</v>
      </c>
      <c r="B21" s="253">
        <v>20</v>
      </c>
      <c r="C21" s="253">
        <v>20</v>
      </c>
      <c r="D21" s="253">
        <v>20</v>
      </c>
      <c r="E21" s="253">
        <v>20</v>
      </c>
      <c r="F21" s="212">
        <v>20</v>
      </c>
      <c r="G21" s="212"/>
      <c r="H21" s="212"/>
      <c r="I21" s="212"/>
      <c r="J21" s="212"/>
      <c r="K21" s="212" t="s">
        <v>654</v>
      </c>
      <c r="L21" s="212">
        <v>4</v>
      </c>
    </row>
    <row r="22" spans="1:17">
      <c r="A22" s="211" t="s">
        <v>649</v>
      </c>
      <c r="B22" s="212">
        <v>1</v>
      </c>
      <c r="C22" s="212">
        <v>1</v>
      </c>
      <c r="D22" s="212">
        <v>2</v>
      </c>
      <c r="E22" s="212">
        <v>2.5</v>
      </c>
      <c r="F22" s="212">
        <v>2.5</v>
      </c>
      <c r="G22" s="212">
        <v>0.75</v>
      </c>
      <c r="H22" s="212">
        <v>1.5</v>
      </c>
      <c r="I22" s="212">
        <v>1.5</v>
      </c>
      <c r="J22" s="212">
        <v>3</v>
      </c>
      <c r="K22" s="212" t="s">
        <v>656</v>
      </c>
      <c r="L22" s="212"/>
    </row>
    <row r="23" spans="1:17">
      <c r="A23" s="223" t="s">
        <v>650</v>
      </c>
      <c r="B23" s="212"/>
      <c r="C23" s="212"/>
      <c r="D23" s="212"/>
      <c r="E23" s="212"/>
      <c r="F23" s="212"/>
      <c r="G23" s="212"/>
      <c r="H23" s="212"/>
      <c r="I23" s="212"/>
      <c r="J23" s="212"/>
      <c r="K23" s="212"/>
      <c r="L23" s="212"/>
    </row>
    <row r="24" spans="1:17">
      <c r="A24" s="211" t="s">
        <v>651</v>
      </c>
      <c r="B24" s="218">
        <v>7</v>
      </c>
      <c r="C24" s="218">
        <v>7</v>
      </c>
      <c r="D24" s="218">
        <v>6</v>
      </c>
      <c r="E24" s="218">
        <v>5</v>
      </c>
      <c r="F24" s="237">
        <v>4</v>
      </c>
      <c r="G24" s="218">
        <v>6</v>
      </c>
      <c r="H24" s="218">
        <v>10</v>
      </c>
      <c r="I24" s="218">
        <v>3</v>
      </c>
      <c r="J24" s="237">
        <v>7</v>
      </c>
      <c r="K24" s="212" t="s">
        <v>659</v>
      </c>
      <c r="L24" s="218">
        <v>2</v>
      </c>
    </row>
    <row r="25" spans="1:17">
      <c r="A25" s="215" t="s">
        <v>711</v>
      </c>
      <c r="B25" s="212"/>
      <c r="C25" s="212"/>
      <c r="D25" s="212"/>
      <c r="E25" s="212"/>
      <c r="F25" s="215"/>
      <c r="G25" s="212"/>
      <c r="H25" s="212"/>
      <c r="I25" s="212"/>
      <c r="J25" s="215"/>
      <c r="K25" s="226"/>
      <c r="L25" s="212"/>
    </row>
    <row r="26" spans="1:17">
      <c r="A26" s="211" t="s">
        <v>712</v>
      </c>
      <c r="B26" s="212"/>
      <c r="C26" s="212"/>
      <c r="D26" s="212"/>
      <c r="E26" s="212"/>
      <c r="F26" s="211"/>
      <c r="G26" s="212"/>
      <c r="H26" s="212"/>
      <c r="I26" s="212"/>
      <c r="J26" s="211"/>
      <c r="K26" s="226"/>
      <c r="L26" s="212"/>
      <c r="O26" s="239"/>
    </row>
    <row r="27" spans="1:17">
      <c r="A27" s="222" t="s">
        <v>743</v>
      </c>
      <c r="B27" s="255">
        <f>B24*0.037+(B24)/4*0.05</f>
        <v>0.34650000000000003</v>
      </c>
      <c r="C27" s="255">
        <f t="shared" ref="C27:J27" si="0">C24*0.037+(C24)/4*0.05</f>
        <v>0.34650000000000003</v>
      </c>
      <c r="D27" s="255">
        <f t="shared" si="0"/>
        <v>0.29699999999999999</v>
      </c>
      <c r="E27" s="255">
        <f t="shared" si="0"/>
        <v>0.2475</v>
      </c>
      <c r="F27" s="255">
        <f t="shared" si="0"/>
        <v>0.19800000000000001</v>
      </c>
      <c r="G27" s="255">
        <f t="shared" si="0"/>
        <v>0.29699999999999999</v>
      </c>
      <c r="H27" s="255">
        <f t="shared" si="0"/>
        <v>0.495</v>
      </c>
      <c r="I27" s="255">
        <f t="shared" si="0"/>
        <v>0.14849999999999999</v>
      </c>
      <c r="J27" s="255">
        <f t="shared" si="0"/>
        <v>0.34650000000000003</v>
      </c>
      <c r="K27" s="212" t="s">
        <v>662</v>
      </c>
      <c r="L27" s="218">
        <v>2</v>
      </c>
      <c r="O27" s="263"/>
    </row>
    <row r="28" spans="1:17">
      <c r="A28" s="215" t="s">
        <v>744</v>
      </c>
      <c r="B28" s="212"/>
      <c r="C28" s="212"/>
      <c r="D28" s="212"/>
      <c r="E28" s="212"/>
      <c r="F28" s="215"/>
      <c r="G28" s="212"/>
      <c r="H28" s="212"/>
      <c r="I28" s="212"/>
      <c r="J28" s="215"/>
      <c r="K28" s="212" t="s">
        <v>667</v>
      </c>
      <c r="L28" s="212"/>
    </row>
    <row r="29" spans="1:17">
      <c r="A29" s="221" t="s">
        <v>730</v>
      </c>
      <c r="B29" s="212"/>
      <c r="C29" s="212"/>
      <c r="D29" s="212"/>
      <c r="E29" s="212"/>
      <c r="F29" s="215"/>
      <c r="G29" s="212"/>
      <c r="H29" s="212"/>
      <c r="I29" s="212"/>
      <c r="J29" s="215"/>
      <c r="K29" s="212"/>
      <c r="L29" s="212"/>
    </row>
    <row r="30" spans="1:17">
      <c r="A30" s="210" t="s">
        <v>665</v>
      </c>
      <c r="B30" s="227"/>
      <c r="C30" s="227"/>
      <c r="D30" s="227"/>
      <c r="E30" s="227"/>
      <c r="F30" s="227"/>
      <c r="G30" s="227"/>
      <c r="H30" s="227"/>
      <c r="I30" s="227"/>
      <c r="J30" s="227"/>
      <c r="K30" s="227"/>
      <c r="L30" s="228"/>
      <c r="O30" s="239"/>
    </row>
    <row r="31" spans="1:17">
      <c r="A31" s="215" t="s">
        <v>745</v>
      </c>
      <c r="B31" s="212">
        <v>0.1</v>
      </c>
      <c r="C31" s="212">
        <v>0.1</v>
      </c>
      <c r="D31" s="212">
        <v>0.1</v>
      </c>
      <c r="E31" s="212">
        <v>0.05</v>
      </c>
      <c r="F31" s="216">
        <v>0.02</v>
      </c>
      <c r="G31" s="212">
        <v>0.02</v>
      </c>
      <c r="H31" s="212">
        <v>0.1</v>
      </c>
      <c r="I31" s="212">
        <v>0.05</v>
      </c>
      <c r="J31" s="216">
        <v>2E-3</v>
      </c>
      <c r="K31" s="212"/>
      <c r="L31" s="212">
        <v>1</v>
      </c>
    </row>
    <row r="32" spans="1:17" ht="20.399999999999999">
      <c r="A32" s="215" t="s">
        <v>666</v>
      </c>
      <c r="B32" s="212">
        <v>0.15</v>
      </c>
      <c r="C32" s="212">
        <v>0.15</v>
      </c>
      <c r="D32" s="212">
        <v>0.15</v>
      </c>
      <c r="E32" s="212">
        <v>0.15</v>
      </c>
      <c r="F32" s="212">
        <v>0.15</v>
      </c>
      <c r="G32" s="212"/>
      <c r="H32" s="212"/>
      <c r="I32" s="212"/>
      <c r="J32" s="215"/>
      <c r="K32" s="212" t="s">
        <v>695</v>
      </c>
      <c r="L32" s="212"/>
    </row>
    <row r="33" spans="1:12" ht="20.399999999999999">
      <c r="A33" s="211" t="s">
        <v>668</v>
      </c>
      <c r="B33" s="212">
        <v>0.2</v>
      </c>
      <c r="C33" s="212">
        <v>0.2</v>
      </c>
      <c r="D33" s="212">
        <v>0.2</v>
      </c>
      <c r="E33" s="212">
        <v>0.2</v>
      </c>
      <c r="F33" s="212">
        <v>0.2</v>
      </c>
      <c r="G33" s="212"/>
      <c r="H33" s="212"/>
      <c r="I33" s="212"/>
      <c r="J33" s="211"/>
      <c r="K33" s="212"/>
      <c r="L33" s="212"/>
    </row>
    <row r="34" spans="1:12">
      <c r="A34" s="230"/>
    </row>
    <row r="35" spans="1:12">
      <c r="A35" s="231" t="s">
        <v>669</v>
      </c>
    </row>
    <row r="36" spans="1:12">
      <c r="A36" s="199">
        <v>1</v>
      </c>
      <c r="B36" s="199" t="s">
        <v>746</v>
      </c>
    </row>
    <row r="37" spans="1:12">
      <c r="A37" s="199">
        <v>2</v>
      </c>
      <c r="B37" s="199" t="s">
        <v>747</v>
      </c>
    </row>
    <row r="38" spans="1:12">
      <c r="A38" s="199">
        <v>3</v>
      </c>
      <c r="B38" s="199" t="s">
        <v>748</v>
      </c>
    </row>
    <row r="39" spans="1:12">
      <c r="A39" s="199">
        <v>4</v>
      </c>
      <c r="B39" s="199" t="s">
        <v>749</v>
      </c>
    </row>
    <row r="41" spans="1:12">
      <c r="A41" s="235" t="s">
        <v>670</v>
      </c>
    </row>
    <row r="42" spans="1:12">
      <c r="A42" s="236" t="s">
        <v>622</v>
      </c>
      <c r="B42" s="199" t="s">
        <v>750</v>
      </c>
    </row>
    <row r="43" spans="1:12">
      <c r="A43" s="236" t="s">
        <v>627</v>
      </c>
      <c r="B43" s="199" t="s">
        <v>751</v>
      </c>
    </row>
    <row r="44" spans="1:12">
      <c r="A44" s="236" t="s">
        <v>629</v>
      </c>
      <c r="B44" s="199" t="s">
        <v>752</v>
      </c>
    </row>
    <row r="45" spans="1:12">
      <c r="A45" s="236" t="s">
        <v>631</v>
      </c>
      <c r="B45" s="199" t="s">
        <v>753</v>
      </c>
    </row>
    <row r="46" spans="1:12">
      <c r="A46" s="236" t="s">
        <v>636</v>
      </c>
      <c r="B46" s="199" t="s">
        <v>754</v>
      </c>
    </row>
    <row r="47" spans="1:12">
      <c r="A47" s="236" t="s">
        <v>638</v>
      </c>
      <c r="B47" s="199" t="s">
        <v>755</v>
      </c>
    </row>
    <row r="48" spans="1:12">
      <c r="A48" s="236" t="s">
        <v>640</v>
      </c>
      <c r="B48" s="199" t="s">
        <v>756</v>
      </c>
    </row>
    <row r="49" spans="1:2">
      <c r="A49" s="236" t="s">
        <v>643</v>
      </c>
      <c r="B49" s="199" t="s">
        <v>757</v>
      </c>
    </row>
    <row r="50" spans="1:2">
      <c r="A50" s="236" t="s">
        <v>652</v>
      </c>
      <c r="B50" s="199" t="s">
        <v>758</v>
      </c>
    </row>
    <row r="51" spans="1:2">
      <c r="A51" s="236" t="s">
        <v>654</v>
      </c>
      <c r="B51" s="199" t="s">
        <v>759</v>
      </c>
    </row>
    <row r="52" spans="1:2">
      <c r="A52" s="236" t="s">
        <v>656</v>
      </c>
      <c r="B52" s="199" t="s">
        <v>760</v>
      </c>
    </row>
    <row r="53" spans="1:2">
      <c r="A53" s="236" t="s">
        <v>659</v>
      </c>
      <c r="B53" s="199" t="s">
        <v>761</v>
      </c>
    </row>
    <row r="54" spans="1:2">
      <c r="A54" s="236" t="s">
        <v>662</v>
      </c>
      <c r="B54" s="199" t="s">
        <v>762</v>
      </c>
    </row>
    <row r="55" spans="1:2">
      <c r="A55" s="236" t="s">
        <v>667</v>
      </c>
      <c r="B55" s="199" t="s">
        <v>763</v>
      </c>
    </row>
    <row r="56" spans="1:2">
      <c r="A56" s="236" t="s">
        <v>695</v>
      </c>
      <c r="B56" s="199" t="s">
        <v>764</v>
      </c>
    </row>
  </sheetData>
  <mergeCells count="3">
    <mergeCell ref="B2:L2"/>
    <mergeCell ref="G3:H3"/>
    <mergeCell ref="I3:J3"/>
  </mergeCells>
  <hyperlinks>
    <hyperlink ref="B2" location="INDEX" display="Direct Air Capture Plant " xr:uid="{AEEAA8B5-F60A-4E05-A6D5-4E0B2F5729BC}"/>
  </hyperlinks>
  <pageMargins left="0.25" right="0.25"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6</vt:i4>
      </vt:variant>
    </vt:vector>
  </HeadingPairs>
  <TitlesOfParts>
    <vt:vector size="30" baseType="lpstr">
      <vt:lpstr>LOG</vt:lpstr>
      <vt:lpstr>Intro</vt:lpstr>
      <vt:lpstr>LCOCO2</vt:lpstr>
      <vt:lpstr>ELC_CCS_Comm</vt:lpstr>
      <vt:lpstr>ELC_CCS_Processes</vt:lpstr>
      <vt:lpstr>ELC_CCS_N_CAP</vt:lpstr>
      <vt:lpstr>IND_CCS</vt:lpstr>
      <vt:lpstr>SUP_DAC</vt:lpstr>
      <vt:lpstr>REFIT</vt:lpstr>
      <vt:lpstr>ELC_CCS_TRA</vt:lpstr>
      <vt:lpstr>ELC_CCS_STO</vt:lpstr>
      <vt:lpstr>Emissions</vt:lpstr>
      <vt:lpstr>DMS marginal prices</vt:lpstr>
      <vt:lpstr>Naming convention</vt:lpstr>
      <vt:lpstr>IND tech</vt:lpstr>
      <vt:lpstr>Adv fossil</vt:lpstr>
      <vt:lpstr>CCS</vt:lpstr>
      <vt:lpstr>Data_Dist_&amp;_CAP</vt:lpstr>
      <vt:lpstr>401.a Post comb - small CHP</vt:lpstr>
      <vt:lpstr>401.b Post comb - Large biomass</vt:lpstr>
      <vt:lpstr>401.c Post comb - Cement kiln</vt:lpstr>
      <vt:lpstr>402.a Oxy-fuel- Large Biomass</vt:lpstr>
      <vt:lpstr>402.b Oxy-fuel Cement</vt:lpstr>
      <vt:lpstr>403.a Direct air capture</vt:lpstr>
      <vt:lpstr>sheet33</vt:lpstr>
      <vt:lpstr>sheet34</vt:lpstr>
      <vt:lpstr>sheet35</vt:lpstr>
      <vt:lpstr>sheet36</vt:lpstr>
      <vt:lpstr>sheet37</vt:lpstr>
      <vt:lpstr>sheet38</vt:lpstr>
    </vt:vector>
  </TitlesOfParts>
  <Company>Energistyrelsen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Kristoffer Steen Andersen</dc:creator>
  <cp:lastModifiedBy>Mikkel Bosack</cp:lastModifiedBy>
  <cp:lastPrinted>2016-04-06T08:02:55Z</cp:lastPrinted>
  <dcterms:created xsi:type="dcterms:W3CDTF">2013-04-04T12:59:05Z</dcterms:created>
  <dcterms:modified xsi:type="dcterms:W3CDTF">2021-10-26T10:21:52Z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344215035438537</vt:r8>
  </property>
</Properties>
</file>