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15480" windowHeight="11400" tabRatio="632"/>
  </bookViews>
  <sheets>
    <sheet name="Intro" sheetId="2" r:id="rId1"/>
    <sheet name="E-tjen-forudsæt" sheetId="13" r:id="rId2"/>
    <sheet name="Øvr forudsæt" sheetId="5" r:id="rId3"/>
    <sheet name="transport foruds." sheetId="15" r:id="rId4"/>
    <sheet name="E-tjen-oversigt" sheetId="4" r:id="rId5"/>
    <sheet name="Effektiviseringer" sheetId="10" r:id="rId6"/>
    <sheet name="Res energi 2035" sheetId="14" r:id="rId7"/>
    <sheet name="Res energi 2050" sheetId="3" r:id="rId8"/>
    <sheet name="Økonomi 2035" sheetId="17" r:id="rId9"/>
    <sheet name="Økonomi 2050" sheetId="11" r:id="rId10"/>
    <sheet name="2011" sheetId="1" r:id="rId11"/>
    <sheet name="Husholdninger" sheetId="7" r:id="rId12"/>
    <sheet name="H&amp;S" sheetId="8" r:id="rId13"/>
    <sheet name="Produktion" sheetId="9" r:id="rId14"/>
    <sheet name="Transport" sheetId="6" r:id="rId15"/>
    <sheet name="Omkostninger" sheetId="12" r:id="rId16"/>
  </sheets>
  <externalReferences>
    <externalReference r:id="rId17"/>
    <externalReference r:id="rId18"/>
    <externalReference r:id="rId19"/>
    <externalReference r:id="rId20"/>
    <externalReference r:id="rId21"/>
  </externalReferences>
  <calcPr calcId="145621"/>
</workbook>
</file>

<file path=xl/calcChain.xml><?xml version="1.0" encoding="utf-8"?>
<calcChain xmlns="http://schemas.openxmlformats.org/spreadsheetml/2006/main">
  <c r="K72" i="10" l="1"/>
  <c r="K73" i="10"/>
  <c r="K74" i="10"/>
  <c r="J73" i="10"/>
  <c r="J74" i="10"/>
  <c r="J72" i="10"/>
  <c r="I72" i="10"/>
  <c r="I73" i="10"/>
  <c r="I74" i="10"/>
  <c r="H73" i="10"/>
  <c r="H74" i="10"/>
  <c r="H72" i="10"/>
  <c r="G72" i="10"/>
  <c r="G73" i="10"/>
  <c r="G74" i="10"/>
  <c r="F74" i="10"/>
  <c r="F73" i="10"/>
  <c r="F72" i="10"/>
  <c r="K70" i="10"/>
  <c r="J70" i="10"/>
  <c r="I70" i="10"/>
  <c r="H70" i="10"/>
  <c r="G70" i="10"/>
  <c r="F70" i="10"/>
  <c r="K69" i="10"/>
  <c r="J69" i="10"/>
  <c r="I69" i="10"/>
  <c r="H69" i="10"/>
  <c r="G69" i="10"/>
  <c r="F69" i="10"/>
  <c r="K68" i="10"/>
  <c r="J68" i="10"/>
  <c r="I68" i="10"/>
  <c r="H68" i="10"/>
  <c r="G68" i="10"/>
  <c r="F68" i="10"/>
  <c r="K66" i="10"/>
  <c r="J66" i="10"/>
  <c r="I66" i="10"/>
  <c r="H66" i="10"/>
  <c r="G66" i="10"/>
  <c r="F66" i="10"/>
  <c r="K65" i="10"/>
  <c r="J65" i="10"/>
  <c r="I65" i="10"/>
  <c r="H65" i="10"/>
  <c r="G65" i="10"/>
  <c r="F65" i="10"/>
  <c r="K63" i="10"/>
  <c r="K64" i="10"/>
  <c r="J64" i="10"/>
  <c r="J63" i="10"/>
  <c r="I63" i="10"/>
  <c r="I64" i="10"/>
  <c r="H64" i="10"/>
  <c r="H63" i="10"/>
  <c r="G64" i="10"/>
  <c r="G63" i="10"/>
  <c r="F64" i="10"/>
  <c r="F63" i="10"/>
  <c r="A83" i="14" l="1"/>
  <c r="A84" i="14"/>
  <c r="A85" i="14"/>
  <c r="A86" i="14"/>
  <c r="A82" i="14"/>
  <c r="C109" i="11" l="1"/>
  <c r="D109" i="11"/>
  <c r="D110" i="11"/>
  <c r="D108" i="11"/>
  <c r="C108" i="11"/>
  <c r="G56" i="10" l="1"/>
  <c r="F56" i="10"/>
  <c r="G55" i="10"/>
  <c r="F55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M44" i="17"/>
  <c r="L44" i="17"/>
  <c r="M43" i="17"/>
  <c r="L43" i="17"/>
  <c r="M42" i="17"/>
  <c r="L42" i="17"/>
  <c r="M44" i="11"/>
  <c r="L44" i="11"/>
  <c r="M43" i="11"/>
  <c r="L43" i="11"/>
  <c r="M42" i="11"/>
  <c r="L42" i="11"/>
  <c r="C20" i="6"/>
  <c r="C19" i="6"/>
  <c r="C18" i="6"/>
  <c r="C17" i="6"/>
  <c r="C16" i="6"/>
  <c r="C15" i="6"/>
  <c r="C14" i="6"/>
  <c r="C13" i="6"/>
  <c r="C12" i="6"/>
  <c r="C11" i="6"/>
  <c r="C10" i="6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27" i="5"/>
  <c r="C27" i="5"/>
  <c r="L23" i="5"/>
  <c r="J23" i="5"/>
  <c r="H23" i="5"/>
  <c r="F23" i="5"/>
  <c r="E23" i="5"/>
  <c r="C23" i="5"/>
  <c r="B8" i="8"/>
  <c r="D45" i="13"/>
  <c r="C45" i="13"/>
  <c r="B45" i="13"/>
  <c r="U12" i="4"/>
  <c r="U11" i="4"/>
  <c r="U9" i="4"/>
  <c r="G9" i="5"/>
  <c r="G8" i="5"/>
  <c r="D39" i="13"/>
  <c r="C39" i="13"/>
  <c r="B39" i="13"/>
  <c r="D38" i="13"/>
  <c r="C38" i="13"/>
  <c r="B38" i="13"/>
  <c r="D37" i="13"/>
  <c r="C37" i="13"/>
  <c r="B37" i="13"/>
  <c r="D35" i="13"/>
  <c r="C35" i="13"/>
  <c r="B35" i="13"/>
  <c r="D34" i="13"/>
  <c r="C34" i="13"/>
  <c r="B34" i="13"/>
  <c r="D33" i="13"/>
  <c r="C33" i="13"/>
  <c r="B33" i="13"/>
  <c r="D21" i="13"/>
  <c r="C21" i="13"/>
  <c r="B21" i="13"/>
  <c r="D15" i="13"/>
  <c r="C15" i="13"/>
  <c r="B15" i="13"/>
  <c r="D14" i="13"/>
  <c r="C14" i="13"/>
  <c r="B14" i="13"/>
  <c r="D13" i="13"/>
  <c r="C13" i="13"/>
  <c r="B13" i="13"/>
  <c r="D11" i="13"/>
  <c r="C11" i="13"/>
  <c r="B11" i="13"/>
  <c r="D10" i="13"/>
  <c r="C10" i="13"/>
  <c r="B10" i="13"/>
  <c r="D9" i="13"/>
  <c r="C9" i="13"/>
  <c r="B9" i="13"/>
  <c r="O6" i="15" l="1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N16" i="15"/>
  <c r="M16" i="15"/>
  <c r="N15" i="15"/>
  <c r="M15" i="15"/>
  <c r="N14" i="15"/>
  <c r="M14" i="15"/>
  <c r="N13" i="15"/>
  <c r="M13" i="15"/>
  <c r="N12" i="15"/>
  <c r="M12" i="15"/>
  <c r="N11" i="15"/>
  <c r="M11" i="15"/>
  <c r="N10" i="15"/>
  <c r="M10" i="15"/>
  <c r="N9" i="15"/>
  <c r="M9" i="15"/>
  <c r="N8" i="15"/>
  <c r="M8" i="15"/>
  <c r="N7" i="15"/>
  <c r="M7" i="15"/>
  <c r="N6" i="15"/>
  <c r="L16" i="15"/>
  <c r="K16" i="15"/>
  <c r="L15" i="15"/>
  <c r="K15" i="15"/>
  <c r="L14" i="15"/>
  <c r="K14" i="15"/>
  <c r="L13" i="15"/>
  <c r="K13" i="15"/>
  <c r="L12" i="15"/>
  <c r="K12" i="15"/>
  <c r="L11" i="15"/>
  <c r="K11" i="15"/>
  <c r="L10" i="15"/>
  <c r="K10" i="15"/>
  <c r="L9" i="15"/>
  <c r="K9" i="15"/>
  <c r="L8" i="15"/>
  <c r="K8" i="15"/>
  <c r="L7" i="15"/>
  <c r="K7" i="15"/>
  <c r="L6" i="15"/>
  <c r="J16" i="15"/>
  <c r="I16" i="15"/>
  <c r="J15" i="15"/>
  <c r="I15" i="15"/>
  <c r="J14" i="15"/>
  <c r="I14" i="15"/>
  <c r="J13" i="15"/>
  <c r="I13" i="15"/>
  <c r="J12" i="15"/>
  <c r="I12" i="15"/>
  <c r="J11" i="15"/>
  <c r="I11" i="15"/>
  <c r="J10" i="15"/>
  <c r="I10" i="15"/>
  <c r="J9" i="15"/>
  <c r="I9" i="15"/>
  <c r="J8" i="15"/>
  <c r="I8" i="15"/>
  <c r="J7" i="15"/>
  <c r="I7" i="15"/>
  <c r="J6" i="15"/>
  <c r="M6" i="15"/>
  <c r="K6" i="15"/>
  <c r="I6" i="15"/>
  <c r="F51" i="4" l="1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A33" i="15" l="1"/>
  <c r="A32" i="15"/>
  <c r="A31" i="15"/>
  <c r="A30" i="15"/>
  <c r="A29" i="15"/>
  <c r="A28" i="15"/>
  <c r="A27" i="15"/>
  <c r="A26" i="15"/>
  <c r="A25" i="15"/>
  <c r="A24" i="15"/>
  <c r="A23" i="15"/>
  <c r="D19" i="15"/>
  <c r="A19" i="15"/>
  <c r="D18" i="15"/>
  <c r="C18" i="15"/>
  <c r="B18" i="15"/>
  <c r="B17" i="15"/>
  <c r="B16" i="15"/>
  <c r="A16" i="15"/>
  <c r="A15" i="15"/>
  <c r="A13" i="15"/>
  <c r="A12" i="15"/>
  <c r="A11" i="15"/>
  <c r="A9" i="15"/>
  <c r="A8" i="15"/>
  <c r="A7" i="15"/>
  <c r="A6" i="15"/>
  <c r="D5" i="15"/>
  <c r="C5" i="15"/>
  <c r="B5" i="15"/>
  <c r="B4" i="15"/>
  <c r="B3" i="15"/>
  <c r="A3" i="15"/>
  <c r="A2" i="15"/>
  <c r="D13" i="15"/>
  <c r="D12" i="15"/>
  <c r="D11" i="15"/>
  <c r="D9" i="15"/>
  <c r="D8" i="15"/>
  <c r="D7" i="15"/>
  <c r="M44" i="10" l="1"/>
  <c r="G55" i="7" l="1"/>
  <c r="F55" i="7"/>
  <c r="D55" i="7"/>
  <c r="C55" i="7"/>
  <c r="F56" i="7"/>
  <c r="C56" i="7"/>
  <c r="O32" i="5" l="1"/>
  <c r="O31" i="5"/>
  <c r="N36" i="5"/>
  <c r="Z56" i="14" l="1"/>
  <c r="Z55" i="14"/>
  <c r="Z54" i="14"/>
  <c r="Z53" i="14"/>
  <c r="Z52" i="14"/>
  <c r="W56" i="14"/>
  <c r="W55" i="14"/>
  <c r="W54" i="14"/>
  <c r="W53" i="14"/>
  <c r="W52" i="14"/>
  <c r="A50" i="14" l="1"/>
  <c r="A50" i="3"/>
  <c r="K20" i="6" l="1"/>
  <c r="K56" i="10"/>
  <c r="L20" i="6" s="1"/>
  <c r="O56" i="10"/>
  <c r="M20" i="6" s="1"/>
  <c r="K16" i="6"/>
  <c r="K52" i="10"/>
  <c r="L16" i="6" s="1"/>
  <c r="O52" i="10"/>
  <c r="M16" i="6" s="1"/>
  <c r="K12" i="6"/>
  <c r="K48" i="10"/>
  <c r="L12" i="6" s="1"/>
  <c r="O48" i="10"/>
  <c r="M12" i="6" s="1"/>
  <c r="K19" i="6"/>
  <c r="O55" i="10"/>
  <c r="M19" i="6" s="1"/>
  <c r="K55" i="10"/>
  <c r="L19" i="6" s="1"/>
  <c r="K15" i="6"/>
  <c r="O51" i="10"/>
  <c r="M15" i="6" s="1"/>
  <c r="K51" i="10"/>
  <c r="L15" i="6" s="1"/>
  <c r="K11" i="6"/>
  <c r="O47" i="10"/>
  <c r="M11" i="6" s="1"/>
  <c r="K47" i="10"/>
  <c r="L11" i="6" s="1"/>
  <c r="K18" i="6"/>
  <c r="K54" i="10"/>
  <c r="L18" i="6" s="1"/>
  <c r="O54" i="10"/>
  <c r="M18" i="6" s="1"/>
  <c r="K14" i="6"/>
  <c r="K50" i="10"/>
  <c r="L14" i="6" s="1"/>
  <c r="O50" i="10"/>
  <c r="M14" i="6" s="1"/>
  <c r="K10" i="6"/>
  <c r="O46" i="10"/>
  <c r="M10" i="6" s="1"/>
  <c r="K46" i="10"/>
  <c r="L10" i="6" s="1"/>
  <c r="K17" i="6"/>
  <c r="O53" i="10"/>
  <c r="M17" i="6" s="1"/>
  <c r="K53" i="10"/>
  <c r="L17" i="6" s="1"/>
  <c r="K13" i="6"/>
  <c r="O49" i="10"/>
  <c r="M13" i="6" s="1"/>
  <c r="K49" i="10"/>
  <c r="L13" i="6" s="1"/>
  <c r="K21" i="6" l="1"/>
  <c r="L21" i="6"/>
  <c r="M21" i="6"/>
  <c r="F36" i="10"/>
  <c r="N54" i="10" l="1"/>
  <c r="J54" i="10"/>
  <c r="N50" i="10"/>
  <c r="J50" i="10"/>
  <c r="N46" i="10"/>
  <c r="J46" i="10"/>
  <c r="N53" i="10"/>
  <c r="J53" i="10"/>
  <c r="N49" i="10"/>
  <c r="J49" i="10"/>
  <c r="J56" i="10"/>
  <c r="N56" i="10"/>
  <c r="J52" i="10"/>
  <c r="N52" i="10"/>
  <c r="J48" i="10"/>
  <c r="N48" i="10"/>
  <c r="J55" i="10"/>
  <c r="N55" i="10"/>
  <c r="J51" i="10"/>
  <c r="N51" i="10"/>
  <c r="J47" i="10"/>
  <c r="N47" i="10"/>
  <c r="E11" i="6" l="1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F10" i="6"/>
  <c r="E10" i="6"/>
  <c r="D30" i="13" l="1"/>
  <c r="I55" i="5"/>
  <c r="B53" i="8" s="1"/>
  <c r="J55" i="5"/>
  <c r="H55" i="5"/>
  <c r="B45" i="8" s="1"/>
  <c r="E55" i="5"/>
  <c r="B62" i="8"/>
  <c r="B63" i="8"/>
  <c r="B64" i="8"/>
  <c r="B65" i="8"/>
  <c r="B66" i="8"/>
  <c r="B67" i="8"/>
  <c r="B61" i="8"/>
  <c r="B54" i="8"/>
  <c r="B55" i="8"/>
  <c r="B56" i="8"/>
  <c r="B57" i="8"/>
  <c r="B58" i="8"/>
  <c r="B59" i="8"/>
  <c r="B46" i="8"/>
  <c r="B47" i="8"/>
  <c r="B48" i="8"/>
  <c r="B49" i="8"/>
  <c r="B50" i="8"/>
  <c r="B51" i="8"/>
  <c r="B19" i="15" l="1"/>
  <c r="B7" i="15"/>
  <c r="B11" i="15" l="1"/>
  <c r="B13" i="15"/>
  <c r="B12" i="15"/>
  <c r="H30" i="4" l="1"/>
  <c r="H28" i="4"/>
  <c r="H27" i="4"/>
  <c r="L27" i="4"/>
  <c r="D48" i="8" s="1"/>
  <c r="L28" i="4"/>
  <c r="D49" i="8" s="1"/>
  <c r="L30" i="4"/>
  <c r="D51" i="8" s="1"/>
  <c r="D30" i="4"/>
  <c r="D27" i="4"/>
  <c r="D28" i="4"/>
  <c r="C13" i="15"/>
  <c r="C19" i="15"/>
  <c r="C7" i="15"/>
  <c r="C8" i="15"/>
  <c r="C12" i="15"/>
  <c r="C9" i="15"/>
  <c r="C11" i="15"/>
  <c r="B9" i="15"/>
  <c r="B8" i="15"/>
  <c r="D56" i="8" l="1"/>
  <c r="D59" i="8"/>
  <c r="M27" i="4"/>
  <c r="E48" i="8" s="1"/>
  <c r="M28" i="4"/>
  <c r="E49" i="8" s="1"/>
  <c r="M30" i="4"/>
  <c r="E51" i="8" s="1"/>
  <c r="D65" i="8"/>
  <c r="E28" i="4"/>
  <c r="E30" i="4"/>
  <c r="E27" i="4"/>
  <c r="D64" i="8"/>
  <c r="I27" i="4"/>
  <c r="I28" i="4"/>
  <c r="I30" i="4"/>
  <c r="D57" i="8"/>
  <c r="D67" i="8"/>
  <c r="A48" i="14"/>
  <c r="B67" i="7"/>
  <c r="B68" i="7"/>
  <c r="B69" i="7"/>
  <c r="B70" i="7"/>
  <c r="B66" i="7"/>
  <c r="G36" i="4"/>
  <c r="C16" i="9" s="1"/>
  <c r="G37" i="4"/>
  <c r="C17" i="9" s="1"/>
  <c r="G35" i="4"/>
  <c r="C15" i="9" s="1"/>
  <c r="E36" i="4"/>
  <c r="E37" i="4"/>
  <c r="E35" i="4"/>
  <c r="B15" i="9" s="1"/>
  <c r="K18" i="4"/>
  <c r="G18" i="4"/>
  <c r="E70" i="7" s="1"/>
  <c r="E18" i="4"/>
  <c r="D70" i="7" s="1"/>
  <c r="G16" i="4"/>
  <c r="E68" i="7" s="1"/>
  <c r="E16" i="4"/>
  <c r="D68" i="7" s="1"/>
  <c r="F5" i="4"/>
  <c r="G5" i="4"/>
  <c r="H5" i="4"/>
  <c r="E5" i="4"/>
  <c r="S10" i="4"/>
  <c r="T10" i="4"/>
  <c r="S11" i="4"/>
  <c r="T11" i="4"/>
  <c r="S12" i="4"/>
  <c r="T12" i="4"/>
  <c r="S9" i="4"/>
  <c r="T9" i="4"/>
  <c r="D8" i="5"/>
  <c r="R11" i="4" s="1"/>
  <c r="E35" i="13"/>
  <c r="E39" i="13"/>
  <c r="D9" i="5"/>
  <c r="R12" i="4" s="1"/>
  <c r="E45" i="13"/>
  <c r="R29" i="4"/>
  <c r="R22" i="4"/>
  <c r="B30" i="13"/>
  <c r="R19" i="4"/>
  <c r="H25" i="13"/>
  <c r="G25" i="13"/>
  <c r="F25" i="13"/>
  <c r="S17" i="4" l="1"/>
  <c r="E56" i="8"/>
  <c r="E59" i="8"/>
  <c r="E57" i="8"/>
  <c r="E65" i="8"/>
  <c r="E64" i="8"/>
  <c r="E67" i="8"/>
  <c r="C30" i="13"/>
  <c r="B29" i="13"/>
  <c r="B31" i="13" s="1"/>
  <c r="D29" i="13"/>
  <c r="D31" i="13" s="1"/>
  <c r="E34" i="13"/>
  <c r="E37" i="13"/>
  <c r="E38" i="13"/>
  <c r="E30" i="13"/>
  <c r="E33" i="13"/>
  <c r="C29" i="13"/>
  <c r="E31" i="13" l="1"/>
  <c r="G6" i="5" s="1"/>
  <c r="D7" i="5"/>
  <c r="E29" i="13"/>
  <c r="D6" i="5"/>
  <c r="R9" i="4" s="1"/>
  <c r="R17" i="4"/>
  <c r="C1" i="6"/>
  <c r="T6" i="6" s="1"/>
  <c r="B1" i="6"/>
  <c r="P6" i="6" s="1"/>
  <c r="R10" i="4" l="1"/>
  <c r="P31" i="5"/>
  <c r="P33" i="5"/>
  <c r="P32" i="5"/>
  <c r="A32" i="6"/>
  <c r="A22" i="6"/>
  <c r="M13" i="7" l="1"/>
  <c r="K13" i="7"/>
  <c r="B29" i="7"/>
  <c r="C2" i="7"/>
  <c r="B2" i="7"/>
  <c r="H38" i="7" s="1"/>
  <c r="C1" i="9"/>
  <c r="B1" i="9"/>
  <c r="H22" i="8"/>
  <c r="I22" i="8"/>
  <c r="H23" i="8"/>
  <c r="G22" i="8"/>
  <c r="I23" i="8"/>
  <c r="G23" i="8"/>
  <c r="N9" i="8"/>
  <c r="L9" i="8"/>
  <c r="C1" i="8"/>
  <c r="B1" i="8"/>
  <c r="M38" i="8" s="1"/>
  <c r="G56" i="7"/>
  <c r="E56" i="7"/>
  <c r="D56" i="7"/>
  <c r="B56" i="7"/>
  <c r="M38" i="7" l="1"/>
  <c r="A88" i="7"/>
  <c r="U61" i="7"/>
  <c r="C9" i="7"/>
  <c r="C29" i="7" s="1"/>
  <c r="F54" i="7"/>
  <c r="C54" i="7"/>
  <c r="Q61" i="7"/>
  <c r="G54" i="7"/>
  <c r="D54" i="7"/>
  <c r="M61" i="7"/>
  <c r="I61" i="7"/>
  <c r="D9" i="7"/>
  <c r="D29" i="7" s="1"/>
  <c r="N7" i="8"/>
  <c r="P70" i="8"/>
  <c r="Q38" i="8"/>
  <c r="C26" i="8"/>
  <c r="L70" i="8"/>
  <c r="I38" i="8"/>
  <c r="U38" i="8"/>
  <c r="H21" i="8"/>
  <c r="I21" i="8"/>
  <c r="D7" i="8"/>
  <c r="D26" i="8"/>
  <c r="D20" i="8"/>
  <c r="C7" i="8"/>
  <c r="C20" i="8"/>
  <c r="R31" i="4"/>
  <c r="B17" i="7" s="1"/>
  <c r="D19" i="7" s="1"/>
  <c r="R24" i="4"/>
  <c r="B11" i="7" s="1"/>
  <c r="T29" i="4"/>
  <c r="S29" i="4"/>
  <c r="R26" i="4"/>
  <c r="T22" i="4"/>
  <c r="S22" i="4"/>
  <c r="T20" i="4"/>
  <c r="S20" i="4"/>
  <c r="T17" i="4"/>
  <c r="D13" i="7" l="1"/>
  <c r="C13" i="7"/>
  <c r="C19" i="7"/>
  <c r="R32" i="4"/>
  <c r="T19" i="4"/>
  <c r="T21" i="4" s="1"/>
  <c r="T23" i="4" s="1"/>
  <c r="T24" i="4" s="1"/>
  <c r="D11" i="7" s="1"/>
  <c r="D12" i="7" s="1"/>
  <c r="D14" i="7" s="1"/>
  <c r="T27" i="4"/>
  <c r="S27" i="4"/>
  <c r="S19" i="4"/>
  <c r="S21" i="4" l="1"/>
  <c r="S23" i="4" s="1"/>
  <c r="S24" i="4" s="1"/>
  <c r="C11" i="7" s="1"/>
  <c r="C12" i="7" s="1"/>
  <c r="C14" i="7" s="1"/>
  <c r="S26" i="4"/>
  <c r="S28" i="4" s="1"/>
  <c r="S30" i="4" s="1"/>
  <c r="S31" i="4" s="1"/>
  <c r="C17" i="7" s="1"/>
  <c r="C18" i="7" s="1"/>
  <c r="C20" i="7" s="1"/>
  <c r="C21" i="7" s="1"/>
  <c r="T26" i="4"/>
  <c r="C15" i="7" l="1"/>
  <c r="D15" i="7"/>
  <c r="L10" i="7" s="1"/>
  <c r="L27" i="7" s="1"/>
  <c r="I11" i="7"/>
  <c r="J11" i="7"/>
  <c r="H11" i="7"/>
  <c r="S32" i="4"/>
  <c r="T28" i="4"/>
  <c r="T30" i="4" s="1"/>
  <c r="T31" i="4" s="1"/>
  <c r="K11" i="7" l="1"/>
  <c r="I10" i="7"/>
  <c r="J10" i="7"/>
  <c r="H10" i="7"/>
  <c r="T32" i="4"/>
  <c r="D17" i="7"/>
  <c r="D18" i="7" s="1"/>
  <c r="D20" i="7" s="1"/>
  <c r="D21" i="7" s="1"/>
  <c r="L11" i="7" s="1"/>
  <c r="N37" i="5"/>
  <c r="F43" i="5" s="1"/>
  <c r="F45" i="5" s="1"/>
  <c r="F46" i="5" s="1"/>
  <c r="J11" i="8" s="1"/>
  <c r="N38" i="5"/>
  <c r="G43" i="5" s="1"/>
  <c r="G45" i="5" s="1"/>
  <c r="G46" i="5" s="1"/>
  <c r="E48" i="5"/>
  <c r="E50" i="5" s="1"/>
  <c r="E51" i="5" s="1"/>
  <c r="I12" i="8" s="1"/>
  <c r="O33" i="5"/>
  <c r="N32" i="5"/>
  <c r="N33" i="5"/>
  <c r="N31" i="5"/>
  <c r="K10" i="7" l="1"/>
  <c r="M10" i="7" s="1"/>
  <c r="H27" i="7"/>
  <c r="E43" i="5"/>
  <c r="E45" i="5" s="1"/>
  <c r="E46" i="5" s="1"/>
  <c r="I11" i="8" s="1"/>
  <c r="K11" i="8"/>
  <c r="M11" i="8"/>
  <c r="M11" i="7"/>
  <c r="F48" i="5"/>
  <c r="F50" i="5" s="1"/>
  <c r="F51" i="5" s="1"/>
  <c r="J12" i="8" s="1"/>
  <c r="G48" i="5"/>
  <c r="G50" i="5" s="1"/>
  <c r="G51" i="5" s="1"/>
  <c r="F1" i="4"/>
  <c r="E1" i="4"/>
  <c r="L17" i="4" s="1"/>
  <c r="M17" i="4" l="1"/>
  <c r="H39" i="4"/>
  <c r="M12" i="8"/>
  <c r="K12" i="8"/>
  <c r="G20" i="4"/>
  <c r="H34" i="4"/>
  <c r="H33" i="4"/>
  <c r="O24" i="4"/>
  <c r="K24" i="4"/>
  <c r="G24" i="4"/>
  <c r="E20" i="4"/>
  <c r="F34" i="4"/>
  <c r="F33" i="4"/>
  <c r="G39" i="4"/>
  <c r="N24" i="4"/>
  <c r="J24" i="4"/>
  <c r="F24" i="4"/>
  <c r="H8" i="4"/>
  <c r="H13" i="4"/>
  <c r="H7" i="4"/>
  <c r="F8" i="4"/>
  <c r="F13" i="4"/>
  <c r="F7" i="4"/>
  <c r="D12" i="5"/>
  <c r="C12" i="5"/>
  <c r="E25" i="5"/>
  <c r="D25" i="5"/>
  <c r="H21" i="5"/>
  <c r="G21" i="5"/>
  <c r="E21" i="5"/>
  <c r="D21" i="5"/>
  <c r="L21" i="5" l="1"/>
  <c r="J21" i="5"/>
  <c r="K21" i="5"/>
  <c r="I21" i="5"/>
  <c r="Q44" i="10"/>
  <c r="I44" i="10"/>
  <c r="H5" i="10"/>
  <c r="P44" i="10"/>
  <c r="L44" i="10"/>
  <c r="H44" i="10"/>
  <c r="N5" i="10"/>
  <c r="K5" i="10"/>
  <c r="M5" i="10"/>
  <c r="J5" i="10"/>
  <c r="G5" i="10"/>
  <c r="C65" i="5"/>
  <c r="B2" i="6" s="1"/>
  <c r="E2" i="4" l="1"/>
  <c r="G50" i="4" s="1"/>
  <c r="H50" i="4" s="1"/>
  <c r="B3" i="7"/>
  <c r="B2" i="9"/>
  <c r="B2" i="8"/>
  <c r="G2" i="10"/>
  <c r="J14" i="10" s="1"/>
  <c r="I69" i="7" s="1"/>
  <c r="I5" i="4"/>
  <c r="K56" i="14"/>
  <c r="K55" i="14"/>
  <c r="K54" i="14"/>
  <c r="K53" i="14"/>
  <c r="K52" i="14"/>
  <c r="L18" i="4" l="1"/>
  <c r="L19" i="4" s="1"/>
  <c r="D21" i="4" s="1"/>
  <c r="C8" i="8" s="1"/>
  <c r="J5" i="4"/>
  <c r="E15" i="4" s="1"/>
  <c r="D67" i="7" s="1"/>
  <c r="F27" i="4"/>
  <c r="J30" i="4"/>
  <c r="J27" i="4"/>
  <c r="F30" i="4"/>
  <c r="F28" i="4"/>
  <c r="J28" i="4"/>
  <c r="K58" i="14"/>
  <c r="G48" i="4"/>
  <c r="H48" i="4" s="1"/>
  <c r="F18" i="4"/>
  <c r="F16" i="4"/>
  <c r="V29" i="4"/>
  <c r="N27" i="4"/>
  <c r="G47" i="4"/>
  <c r="H47" i="4" s="1"/>
  <c r="V24" i="4"/>
  <c r="V11" i="4"/>
  <c r="G42" i="4"/>
  <c r="H42" i="4" s="1"/>
  <c r="V19" i="4"/>
  <c r="V32" i="4"/>
  <c r="E9" i="4" s="1"/>
  <c r="G43" i="4"/>
  <c r="H43" i="4" s="1"/>
  <c r="G51" i="4"/>
  <c r="H51" i="4" s="1"/>
  <c r="G46" i="4"/>
  <c r="H46" i="4" s="1"/>
  <c r="N28" i="4"/>
  <c r="N30" i="4"/>
  <c r="V26" i="4"/>
  <c r="V31" i="4"/>
  <c r="E11" i="4" s="1"/>
  <c r="F11" i="4" s="1"/>
  <c r="V22" i="4"/>
  <c r="V17" i="4"/>
  <c r="V9" i="4"/>
  <c r="V12" i="4"/>
  <c r="G45" i="4"/>
  <c r="H45" i="4" s="1"/>
  <c r="G49" i="4"/>
  <c r="H49" i="4" s="1"/>
  <c r="G41" i="4"/>
  <c r="H41" i="4" s="1"/>
  <c r="G44" i="4"/>
  <c r="H44" i="4" s="1"/>
  <c r="E17" i="4"/>
  <c r="D69" i="7" s="1"/>
  <c r="C10" i="8"/>
  <c r="D10" i="8"/>
  <c r="J9" i="10"/>
  <c r="M21" i="10"/>
  <c r="J12" i="10"/>
  <c r="I67" i="7" s="1"/>
  <c r="H50" i="10"/>
  <c r="G22" i="10"/>
  <c r="M8" i="10"/>
  <c r="L51" i="10"/>
  <c r="P54" i="10"/>
  <c r="M22" i="10"/>
  <c r="H46" i="10"/>
  <c r="G15" i="10"/>
  <c r="H70" i="7" s="1"/>
  <c r="M32" i="10"/>
  <c r="O36" i="9" s="1"/>
  <c r="M11" i="10"/>
  <c r="J66" i="7" s="1"/>
  <c r="G37" i="10"/>
  <c r="O29" i="9" s="1"/>
  <c r="H49" i="10"/>
  <c r="P53" i="10"/>
  <c r="J22" i="10"/>
  <c r="G12" i="10"/>
  <c r="H67" i="7" s="1"/>
  <c r="G41" i="10"/>
  <c r="O30" i="9" s="1"/>
  <c r="L52" i="10"/>
  <c r="M12" i="10"/>
  <c r="J67" i="7" s="1"/>
  <c r="J20" i="10"/>
  <c r="J41" i="10"/>
  <c r="O34" i="9" s="1"/>
  <c r="G36" i="10"/>
  <c r="J18" i="10"/>
  <c r="G31" i="10"/>
  <c r="M37" i="10"/>
  <c r="O37" i="9" s="1"/>
  <c r="M25" i="10"/>
  <c r="M15" i="10"/>
  <c r="J70" i="7" s="1"/>
  <c r="H53" i="10"/>
  <c r="L55" i="10"/>
  <c r="L47" i="10"/>
  <c r="P49" i="10"/>
  <c r="G14" i="10"/>
  <c r="H69" i="7" s="1"/>
  <c r="P46" i="10"/>
  <c r="J15" i="10"/>
  <c r="I70" i="7" s="1"/>
  <c r="J25" i="10"/>
  <c r="J37" i="10"/>
  <c r="O33" i="9" s="1"/>
  <c r="G20" i="10"/>
  <c r="G35" i="10"/>
  <c r="P50" i="10"/>
  <c r="L48" i="10"/>
  <c r="L56" i="10"/>
  <c r="H54" i="10"/>
  <c r="M18" i="10"/>
  <c r="J13" i="10"/>
  <c r="I68" i="7" s="1"/>
  <c r="J23" i="10"/>
  <c r="J35" i="10"/>
  <c r="G13" i="10"/>
  <c r="H68" i="7" s="1"/>
  <c r="G30" i="10"/>
  <c r="G8" i="10"/>
  <c r="J11" i="10"/>
  <c r="I66" i="7" s="1"/>
  <c r="J21" i="10"/>
  <c r="J32" i="10"/>
  <c r="O32" i="9" s="1"/>
  <c r="J8" i="10"/>
  <c r="G23" i="10"/>
  <c r="M35" i="10"/>
  <c r="M30" i="10"/>
  <c r="M23" i="10"/>
  <c r="M13" i="10"/>
  <c r="J68" i="7" s="1"/>
  <c r="H55" i="10"/>
  <c r="H51" i="10"/>
  <c r="H47" i="10"/>
  <c r="L53" i="10"/>
  <c r="L49" i="10"/>
  <c r="P55" i="10"/>
  <c r="P51" i="10"/>
  <c r="P47" i="10"/>
  <c r="G25" i="10"/>
  <c r="L46" i="10"/>
  <c r="P48" i="10"/>
  <c r="G24" i="10"/>
  <c r="G32" i="10"/>
  <c r="O28" i="9" s="1"/>
  <c r="G21" i="10"/>
  <c r="G9" i="10"/>
  <c r="M20" i="10"/>
  <c r="M41" i="10"/>
  <c r="O38" i="9" s="1"/>
  <c r="J30" i="10"/>
  <c r="G18" i="10"/>
  <c r="M14" i="10"/>
  <c r="J69" i="7" s="1"/>
  <c r="H48" i="10"/>
  <c r="P56" i="10"/>
  <c r="L50" i="10"/>
  <c r="L54" i="10"/>
  <c r="J24" i="10"/>
  <c r="P52" i="10"/>
  <c r="M24" i="10"/>
  <c r="H52" i="10"/>
  <c r="G11" i="10"/>
  <c r="H66" i="7" s="1"/>
  <c r="M9" i="10"/>
  <c r="H56" i="10"/>
  <c r="N13" i="6"/>
  <c r="N10" i="6"/>
  <c r="N23" i="6" l="1"/>
  <c r="E14" i="4"/>
  <c r="D66" i="7" s="1"/>
  <c r="F9" i="4"/>
  <c r="E10" i="4"/>
  <c r="F10" i="4" s="1"/>
  <c r="E21" i="4"/>
  <c r="L29" i="4"/>
  <c r="D50" i="8" s="1"/>
  <c r="H25" i="4"/>
  <c r="D29" i="4"/>
  <c r="D26" i="4"/>
  <c r="L26" i="4"/>
  <c r="D47" i="8" s="1"/>
  <c r="L25" i="4"/>
  <c r="D46" i="8" s="1"/>
  <c r="H29" i="4"/>
  <c r="H26" i="4"/>
  <c r="D25" i="4"/>
  <c r="D54" i="8" s="1"/>
  <c r="C9" i="8"/>
  <c r="C11" i="8" s="1"/>
  <c r="C12" i="8" s="1"/>
  <c r="I8" i="8" s="1"/>
  <c r="I15" i="8" s="1"/>
  <c r="F17" i="4"/>
  <c r="C21" i="6"/>
  <c r="I32" i="9"/>
  <c r="K32" i="9"/>
  <c r="G32" i="9"/>
  <c r="H32" i="9"/>
  <c r="J32" i="9"/>
  <c r="L32" i="9"/>
  <c r="H63" i="8"/>
  <c r="H55" i="8"/>
  <c r="H47" i="8"/>
  <c r="J66" i="8"/>
  <c r="J58" i="8"/>
  <c r="J50" i="8"/>
  <c r="I66" i="8"/>
  <c r="I58" i="8"/>
  <c r="I50" i="8"/>
  <c r="H67" i="8"/>
  <c r="H59" i="8"/>
  <c r="H51" i="8"/>
  <c r="J65" i="8"/>
  <c r="J57" i="8"/>
  <c r="J49" i="8"/>
  <c r="I37" i="9"/>
  <c r="K37" i="9"/>
  <c r="G37" i="9"/>
  <c r="H37" i="9"/>
  <c r="J37" i="9"/>
  <c r="L37" i="9"/>
  <c r="I55" i="8"/>
  <c r="I47" i="8"/>
  <c r="I63" i="8"/>
  <c r="I57" i="8"/>
  <c r="I49" i="8"/>
  <c r="I65" i="8"/>
  <c r="H62" i="8"/>
  <c r="H54" i="8"/>
  <c r="H46" i="8"/>
  <c r="I67" i="8"/>
  <c r="I59" i="8"/>
  <c r="I51" i="8"/>
  <c r="J67" i="8"/>
  <c r="J59" i="8"/>
  <c r="J51" i="8"/>
  <c r="M28" i="9"/>
  <c r="N28" i="9"/>
  <c r="J64" i="8"/>
  <c r="J56" i="8"/>
  <c r="J48" i="8"/>
  <c r="J63" i="8"/>
  <c r="J55" i="8"/>
  <c r="J47" i="8"/>
  <c r="J62" i="8"/>
  <c r="J54" i="8"/>
  <c r="J46" i="8"/>
  <c r="H66" i="8"/>
  <c r="H58" i="8"/>
  <c r="H50" i="8"/>
  <c r="H36" i="9"/>
  <c r="J36" i="9"/>
  <c r="L36" i="9"/>
  <c r="I36" i="9"/>
  <c r="K36" i="9"/>
  <c r="G36" i="9"/>
  <c r="H65" i="8"/>
  <c r="H57" i="8"/>
  <c r="H49" i="8"/>
  <c r="I28" i="9"/>
  <c r="K28" i="9"/>
  <c r="G28" i="9"/>
  <c r="H28" i="9"/>
  <c r="J28" i="9"/>
  <c r="L28" i="9"/>
  <c r="I33" i="9"/>
  <c r="K33" i="9"/>
  <c r="G33" i="9"/>
  <c r="H33" i="9"/>
  <c r="J33" i="9"/>
  <c r="L33" i="9"/>
  <c r="I29" i="9"/>
  <c r="K29" i="9"/>
  <c r="G29" i="9"/>
  <c r="H29" i="9"/>
  <c r="J29" i="9"/>
  <c r="L29" i="9"/>
  <c r="M29" i="9"/>
  <c r="N29" i="9"/>
  <c r="I62" i="8"/>
  <c r="I54" i="8"/>
  <c r="I46" i="8"/>
  <c r="I64" i="8"/>
  <c r="I56" i="8"/>
  <c r="I48" i="8"/>
  <c r="H64" i="8"/>
  <c r="H56" i="8"/>
  <c r="H48" i="8"/>
  <c r="C65" i="7"/>
  <c r="C45" i="8"/>
  <c r="C68" i="7" l="1"/>
  <c r="C70" i="7"/>
  <c r="C67" i="7"/>
  <c r="C66" i="7"/>
  <c r="C69" i="7"/>
  <c r="F14" i="4"/>
  <c r="D66" i="8"/>
  <c r="J29" i="4"/>
  <c r="D58" i="8"/>
  <c r="F29" i="4"/>
  <c r="D62" i="8"/>
  <c r="J25" i="4"/>
  <c r="J26" i="4"/>
  <c r="D63" i="8"/>
  <c r="D55" i="8"/>
  <c r="F26" i="4"/>
  <c r="K8" i="8"/>
  <c r="K15" i="8" s="1"/>
  <c r="J8" i="8"/>
  <c r="I16" i="8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13" i="12"/>
  <c r="B12" i="12"/>
  <c r="L8" i="8" l="1"/>
  <c r="K16" i="8"/>
  <c r="J16" i="8"/>
  <c r="J15" i="8"/>
  <c r="L15" i="8" s="1"/>
  <c r="BJ9" i="12"/>
  <c r="BK9" i="12"/>
  <c r="BL9" i="12"/>
  <c r="BM9" i="12"/>
  <c r="BN9" i="12"/>
  <c r="BO9" i="12"/>
  <c r="BP9" i="12"/>
  <c r="BQ9" i="12"/>
  <c r="BR9" i="12"/>
  <c r="BS9" i="12"/>
  <c r="BJ10" i="12"/>
  <c r="BK10" i="12"/>
  <c r="BL10" i="12"/>
  <c r="BM10" i="12"/>
  <c r="BN10" i="12"/>
  <c r="BO10" i="12"/>
  <c r="BP10" i="12"/>
  <c r="BQ10" i="12"/>
  <c r="BR10" i="12"/>
  <c r="BS10" i="12"/>
  <c r="BJ11" i="12"/>
  <c r="BK11" i="12"/>
  <c r="BL11" i="12"/>
  <c r="BM11" i="12"/>
  <c r="BN11" i="12"/>
  <c r="BO11" i="12"/>
  <c r="BP11" i="12"/>
  <c r="BQ11" i="12"/>
  <c r="BR11" i="12"/>
  <c r="BS11" i="12"/>
  <c r="BJ14" i="12"/>
  <c r="BK14" i="12"/>
  <c r="BL14" i="12"/>
  <c r="BM14" i="12"/>
  <c r="BN14" i="12"/>
  <c r="BO14" i="12"/>
  <c r="BP14" i="12"/>
  <c r="BQ14" i="12"/>
  <c r="BR14" i="12"/>
  <c r="BS14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14" i="12"/>
  <c r="B11" i="12"/>
  <c r="B10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9" i="12"/>
  <c r="L16" i="8" l="1"/>
  <c r="N27" i="8" s="1"/>
  <c r="D72" i="17" s="1"/>
  <c r="N25" i="8"/>
  <c r="D70" i="17" s="1"/>
  <c r="N24" i="8"/>
  <c r="D69" i="17" s="1"/>
  <c r="D65" i="5"/>
  <c r="C2" i="6" s="1"/>
  <c r="D2" i="6" s="1"/>
  <c r="F35" i="4"/>
  <c r="F36" i="4"/>
  <c r="F37" i="4"/>
  <c r="E70" i="17" l="1"/>
  <c r="E72" i="17"/>
  <c r="N26" i="8"/>
  <c r="D71" i="17" s="1"/>
  <c r="E71" i="17" s="1"/>
  <c r="C2" i="9"/>
  <c r="C3" i="7"/>
  <c r="C2" i="8"/>
  <c r="F2" i="4"/>
  <c r="K5" i="4" s="1"/>
  <c r="G15" i="4" s="1"/>
  <c r="E67" i="7" s="1"/>
  <c r="H2" i="10"/>
  <c r="A48" i="3"/>
  <c r="F71" i="17" l="1"/>
  <c r="G8" i="17"/>
  <c r="H71" i="17"/>
  <c r="G15" i="17" s="1"/>
  <c r="F72" i="17"/>
  <c r="H72" i="17"/>
  <c r="G16" i="17" s="1"/>
  <c r="G9" i="17"/>
  <c r="F70" i="17"/>
  <c r="H70" i="17"/>
  <c r="G14" i="17" s="1"/>
  <c r="E9" i="8"/>
  <c r="M18" i="4"/>
  <c r="M19" i="4" s="1"/>
  <c r="F21" i="4" s="1"/>
  <c r="D8" i="8" s="1"/>
  <c r="D9" i="8" s="1"/>
  <c r="D11" i="8" s="1"/>
  <c r="D12" i="8" s="1"/>
  <c r="M8" i="8" s="1"/>
  <c r="N8" i="8" s="1"/>
  <c r="G27" i="4"/>
  <c r="K27" i="4"/>
  <c r="G28" i="4"/>
  <c r="K30" i="4"/>
  <c r="G30" i="4"/>
  <c r="K28" i="4"/>
  <c r="N26" i="4"/>
  <c r="N25" i="4"/>
  <c r="N29" i="4"/>
  <c r="H37" i="4"/>
  <c r="O27" i="4"/>
  <c r="O28" i="4"/>
  <c r="O29" i="4"/>
  <c r="O30" i="4"/>
  <c r="H36" i="4"/>
  <c r="H35" i="4"/>
  <c r="H15" i="4"/>
  <c r="H18" i="4"/>
  <c r="H16" i="4"/>
  <c r="W12" i="4"/>
  <c r="W9" i="4"/>
  <c r="W11" i="4"/>
  <c r="W32" i="4"/>
  <c r="G9" i="4" s="1"/>
  <c r="W17" i="4"/>
  <c r="W29" i="4"/>
  <c r="W22" i="4"/>
  <c r="W24" i="4"/>
  <c r="G10" i="4" s="1"/>
  <c r="H10" i="4" s="1"/>
  <c r="W19" i="4"/>
  <c r="W26" i="4"/>
  <c r="W31" i="4"/>
  <c r="G11" i="4" s="1"/>
  <c r="H11" i="4" s="1"/>
  <c r="Q47" i="10"/>
  <c r="H14" i="10"/>
  <c r="N30" i="10"/>
  <c r="H41" i="10"/>
  <c r="H13" i="10"/>
  <c r="K23" i="10"/>
  <c r="Q49" i="8" s="1"/>
  <c r="I55" i="10"/>
  <c r="M49" i="10"/>
  <c r="H36" i="10"/>
  <c r="K8" i="10"/>
  <c r="K21" i="10"/>
  <c r="Q47" i="8" s="1"/>
  <c r="N35" i="10"/>
  <c r="N13" i="10"/>
  <c r="H35" i="10"/>
  <c r="I51" i="10"/>
  <c r="Q55" i="10"/>
  <c r="Q48" i="10"/>
  <c r="Q52" i="10"/>
  <c r="Q56" i="10"/>
  <c r="M50" i="10"/>
  <c r="M54" i="10"/>
  <c r="I48" i="10"/>
  <c r="I52" i="10"/>
  <c r="I56" i="10"/>
  <c r="N12" i="10"/>
  <c r="N18" i="10"/>
  <c r="N22" i="10"/>
  <c r="R48" i="8" s="1"/>
  <c r="K9" i="10"/>
  <c r="K14" i="10"/>
  <c r="K20" i="10"/>
  <c r="Q46" i="8" s="1"/>
  <c r="K24" i="10"/>
  <c r="Q50" i="8" s="1"/>
  <c r="K41" i="10"/>
  <c r="H15" i="10"/>
  <c r="H25" i="10"/>
  <c r="P51" i="8" s="1"/>
  <c r="H37" i="10"/>
  <c r="Q46" i="10"/>
  <c r="K25" i="10"/>
  <c r="Q51" i="8" s="1"/>
  <c r="M46" i="10"/>
  <c r="H18" i="10"/>
  <c r="N37" i="10"/>
  <c r="N15" i="10"/>
  <c r="M51" i="10"/>
  <c r="H30" i="10"/>
  <c r="K35" i="10"/>
  <c r="K13" i="10"/>
  <c r="I47" i="10"/>
  <c r="Q51" i="10"/>
  <c r="H22" i="10"/>
  <c r="P48" i="8" s="1"/>
  <c r="K32" i="10"/>
  <c r="K11" i="10"/>
  <c r="N23" i="10"/>
  <c r="R49" i="8" s="1"/>
  <c r="H20" i="10"/>
  <c r="P46" i="8" s="1"/>
  <c r="M53" i="10"/>
  <c r="Q50" i="10"/>
  <c r="Q54" i="10"/>
  <c r="M48" i="10"/>
  <c r="M52" i="10"/>
  <c r="M56" i="10"/>
  <c r="I50" i="10"/>
  <c r="I54" i="10"/>
  <c r="N9" i="10"/>
  <c r="N14" i="10"/>
  <c r="N20" i="10"/>
  <c r="R46" i="8" s="1"/>
  <c r="N24" i="10"/>
  <c r="R50" i="8" s="1"/>
  <c r="N41" i="10"/>
  <c r="K12" i="10"/>
  <c r="K18" i="10"/>
  <c r="K22" i="10"/>
  <c r="Q48" i="8" s="1"/>
  <c r="H11" i="10"/>
  <c r="H21" i="10"/>
  <c r="P47" i="8" s="1"/>
  <c r="H32" i="10"/>
  <c r="H8" i="10"/>
  <c r="I46" i="10"/>
  <c r="H24" i="10"/>
  <c r="P50" i="8" s="1"/>
  <c r="H12" i="10"/>
  <c r="K37" i="10"/>
  <c r="K15" i="10"/>
  <c r="H23" i="10"/>
  <c r="P49" i="8" s="1"/>
  <c r="H9" i="10"/>
  <c r="K30" i="10"/>
  <c r="N8" i="10"/>
  <c r="N32" i="10"/>
  <c r="N21" i="10"/>
  <c r="R47" i="8" s="1"/>
  <c r="N11" i="10"/>
  <c r="I53" i="10"/>
  <c r="M55" i="10"/>
  <c r="M47" i="10"/>
  <c r="Q49" i="10"/>
  <c r="H31" i="10"/>
  <c r="N25" i="10"/>
  <c r="R51" i="8" s="1"/>
  <c r="I49" i="10"/>
  <c r="Q53" i="10"/>
  <c r="M16" i="8" l="1"/>
  <c r="N16" i="8" s="1"/>
  <c r="N31" i="8" s="1"/>
  <c r="M15" i="8"/>
  <c r="N15" i="8" s="1"/>
  <c r="N28" i="8" s="1"/>
  <c r="G21" i="4"/>
  <c r="I26" i="4"/>
  <c r="M29" i="4"/>
  <c r="E50" i="8" s="1"/>
  <c r="I25" i="4"/>
  <c r="E29" i="4"/>
  <c r="M26" i="4"/>
  <c r="E47" i="8" s="1"/>
  <c r="E26" i="4"/>
  <c r="M25" i="4"/>
  <c r="I29" i="4"/>
  <c r="E25" i="4"/>
  <c r="G25" i="4" s="1"/>
  <c r="F25" i="4"/>
  <c r="O26" i="4"/>
  <c r="G17" i="4"/>
  <c r="G14" i="4"/>
  <c r="R67" i="8"/>
  <c r="R59" i="8"/>
  <c r="R63" i="8"/>
  <c r="R55" i="8"/>
  <c r="P65" i="8"/>
  <c r="P57" i="8"/>
  <c r="P63" i="8"/>
  <c r="P55" i="8"/>
  <c r="R62" i="8"/>
  <c r="R54" i="8"/>
  <c r="R65" i="8"/>
  <c r="R57" i="8"/>
  <c r="Q67" i="8"/>
  <c r="Q59" i="8"/>
  <c r="P67" i="8"/>
  <c r="P59" i="8"/>
  <c r="Q62" i="8"/>
  <c r="Q54" i="8"/>
  <c r="R64" i="8"/>
  <c r="R56" i="8"/>
  <c r="Q63" i="8"/>
  <c r="Q55" i="8"/>
  <c r="P66" i="8"/>
  <c r="P58" i="8"/>
  <c r="Q56" i="8"/>
  <c r="Q64" i="8"/>
  <c r="R66" i="8"/>
  <c r="R58" i="8"/>
  <c r="P62" i="8"/>
  <c r="P54" i="8"/>
  <c r="P64" i="8"/>
  <c r="P56" i="8"/>
  <c r="Q66" i="8"/>
  <c r="Q58" i="8"/>
  <c r="Q65" i="8"/>
  <c r="Q57" i="8"/>
  <c r="F75" i="8"/>
  <c r="F74" i="8"/>
  <c r="N29" i="8" l="1"/>
  <c r="D72" i="11"/>
  <c r="D69" i="11"/>
  <c r="N30" i="8"/>
  <c r="E46" i="8"/>
  <c r="O25" i="4"/>
  <c r="E62" i="8"/>
  <c r="K25" i="4"/>
  <c r="G26" i="4"/>
  <c r="E55" i="8"/>
  <c r="H14" i="4"/>
  <c r="E66" i="7"/>
  <c r="E54" i="8"/>
  <c r="K26" i="4"/>
  <c r="E63" i="8"/>
  <c r="H17" i="4"/>
  <c r="E69" i="7"/>
  <c r="E66" i="8"/>
  <c r="K29" i="4"/>
  <c r="E58" i="8"/>
  <c r="G29" i="4"/>
  <c r="F29" i="7"/>
  <c r="E34" i="5"/>
  <c r="F34" i="5"/>
  <c r="F35" i="5" s="1"/>
  <c r="G34" i="5"/>
  <c r="G35" i="5" s="1"/>
  <c r="E35" i="5"/>
  <c r="C75" i="8"/>
  <c r="B23" i="1"/>
  <c r="D71" i="11" l="1"/>
  <c r="D70" i="11"/>
  <c r="J16" i="7"/>
  <c r="J27" i="7" s="1"/>
  <c r="I16" i="7"/>
  <c r="I27" i="7" s="1"/>
  <c r="L16" i="7"/>
  <c r="J17" i="7"/>
  <c r="J28" i="7" s="1"/>
  <c r="H17" i="7"/>
  <c r="H28" i="7" s="1"/>
  <c r="I17" i="7"/>
  <c r="I28" i="7" s="1"/>
  <c r="L17" i="7"/>
  <c r="L28" i="7" s="1"/>
  <c r="H16" i="7"/>
  <c r="H20" i="7"/>
  <c r="H19" i="7"/>
  <c r="I19" i="7"/>
  <c r="I20" i="7"/>
  <c r="L20" i="7"/>
  <c r="J20" i="7"/>
  <c r="L19" i="7"/>
  <c r="J19" i="7"/>
  <c r="N75" i="8"/>
  <c r="J75" i="8"/>
  <c r="C74" i="8"/>
  <c r="J74" i="8" s="1"/>
  <c r="Q23" i="1"/>
  <c r="O23" i="1"/>
  <c r="M23" i="1"/>
  <c r="K23" i="1"/>
  <c r="I23" i="1"/>
  <c r="G23" i="1"/>
  <c r="E23" i="1"/>
  <c r="C23" i="1"/>
  <c r="R23" i="1"/>
  <c r="P23" i="1"/>
  <c r="N23" i="1"/>
  <c r="L23" i="1"/>
  <c r="J23" i="1"/>
  <c r="H23" i="1"/>
  <c r="F23" i="1"/>
  <c r="D23" i="1"/>
  <c r="L40" i="10"/>
  <c r="I40" i="10"/>
  <c r="F40" i="10"/>
  <c r="L39" i="10"/>
  <c r="I39" i="10"/>
  <c r="F39" i="10"/>
  <c r="L31" i="10"/>
  <c r="L36" i="10"/>
  <c r="I50" i="9"/>
  <c r="M50" i="9"/>
  <c r="I58" i="9"/>
  <c r="I54" i="9"/>
  <c r="H57" i="9"/>
  <c r="I53" i="9"/>
  <c r="H49" i="9"/>
  <c r="L29" i="10"/>
  <c r="I29" i="10"/>
  <c r="F29" i="10"/>
  <c r="L34" i="10"/>
  <c r="I34" i="10"/>
  <c r="F34" i="10"/>
  <c r="A83" i="3"/>
  <c r="A82" i="3"/>
  <c r="M40" i="10" l="1"/>
  <c r="N40" i="10"/>
  <c r="J59" i="9" s="1"/>
  <c r="M36" i="10"/>
  <c r="N36" i="10"/>
  <c r="M58" i="9" s="1"/>
  <c r="M31" i="10"/>
  <c r="N31" i="10"/>
  <c r="G40" i="10"/>
  <c r="H40" i="10"/>
  <c r="H51" i="9" s="1"/>
  <c r="J40" i="10"/>
  <c r="K40" i="10"/>
  <c r="J55" i="9" s="1"/>
  <c r="J31" i="10"/>
  <c r="K31" i="10"/>
  <c r="J36" i="10"/>
  <c r="K36" i="10"/>
  <c r="M54" i="9" s="1"/>
  <c r="M29" i="10"/>
  <c r="N29" i="10"/>
  <c r="F57" i="9" s="1"/>
  <c r="M34" i="10"/>
  <c r="N34" i="10"/>
  <c r="M39" i="10"/>
  <c r="N39" i="10"/>
  <c r="D59" i="9" s="1"/>
  <c r="J34" i="10"/>
  <c r="K34" i="10"/>
  <c r="D54" i="9" s="1"/>
  <c r="J29" i="10"/>
  <c r="K29" i="10"/>
  <c r="E53" i="9" s="1"/>
  <c r="J39" i="10"/>
  <c r="K39" i="10"/>
  <c r="C55" i="9" s="1"/>
  <c r="G29" i="10"/>
  <c r="H29" i="10"/>
  <c r="D49" i="9" s="1"/>
  <c r="G39" i="10"/>
  <c r="H39" i="10"/>
  <c r="F51" i="9" s="1"/>
  <c r="G34" i="10"/>
  <c r="H34" i="10"/>
  <c r="K28" i="7"/>
  <c r="H44" i="7" s="1"/>
  <c r="D31" i="17" s="1"/>
  <c r="K27" i="7"/>
  <c r="J76" i="8"/>
  <c r="C141" i="8" s="1"/>
  <c r="C8" i="14" s="1"/>
  <c r="N74" i="8"/>
  <c r="N76" i="8" s="1"/>
  <c r="C149" i="8" s="1"/>
  <c r="C8" i="3" s="1"/>
  <c r="L53" i="9"/>
  <c r="H53" i="9"/>
  <c r="L54" i="9"/>
  <c r="J53" i="9"/>
  <c r="J57" i="9"/>
  <c r="N54" i="9"/>
  <c r="K58" i="9"/>
  <c r="H54" i="9"/>
  <c r="K57" i="9"/>
  <c r="L58" i="9"/>
  <c r="H58" i="9"/>
  <c r="G57" i="9"/>
  <c r="I57" i="9"/>
  <c r="J58" i="9"/>
  <c r="L57" i="9"/>
  <c r="G58" i="9"/>
  <c r="Q25" i="1"/>
  <c r="J54" i="9"/>
  <c r="G54" i="9"/>
  <c r="K54" i="9"/>
  <c r="G53" i="9"/>
  <c r="K53" i="9"/>
  <c r="K50" i="9"/>
  <c r="L50" i="9"/>
  <c r="J50" i="9"/>
  <c r="H50" i="9"/>
  <c r="G50" i="9"/>
  <c r="N50" i="9"/>
  <c r="G49" i="9"/>
  <c r="K49" i="9"/>
  <c r="I49" i="9"/>
  <c r="L49" i="9"/>
  <c r="J49" i="9"/>
  <c r="E18" i="10"/>
  <c r="E9" i="10"/>
  <c r="E8" i="10"/>
  <c r="P66" i="7"/>
  <c r="P67" i="7"/>
  <c r="P68" i="7"/>
  <c r="P69" i="7"/>
  <c r="P70" i="7"/>
  <c r="O49" i="9"/>
  <c r="O50" i="9"/>
  <c r="O51" i="9"/>
  <c r="F16" i="9"/>
  <c r="F17" i="9"/>
  <c r="F15" i="9"/>
  <c r="E16" i="9"/>
  <c r="E17" i="9"/>
  <c r="E15" i="9"/>
  <c r="F63" i="8"/>
  <c r="F64" i="8"/>
  <c r="F65" i="8"/>
  <c r="F66" i="8"/>
  <c r="F67" i="8"/>
  <c r="F62" i="8"/>
  <c r="F55" i="8"/>
  <c r="F56" i="8"/>
  <c r="F57" i="8"/>
  <c r="F58" i="8"/>
  <c r="F59" i="8"/>
  <c r="F54" i="8"/>
  <c r="F47" i="8"/>
  <c r="F48" i="8"/>
  <c r="F49" i="8"/>
  <c r="F50" i="8"/>
  <c r="F51" i="8"/>
  <c r="F46" i="8"/>
  <c r="F67" i="7"/>
  <c r="F68" i="7"/>
  <c r="F69" i="7"/>
  <c r="F70" i="7"/>
  <c r="F66" i="7"/>
  <c r="F39" i="5"/>
  <c r="F40" i="5" s="1"/>
  <c r="E39" i="5"/>
  <c r="E40" i="5" s="1"/>
  <c r="G39" i="5"/>
  <c r="G40" i="5" s="1"/>
  <c r="F15" i="4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J10" i="6"/>
  <c r="I10" i="6"/>
  <c r="H11" i="6"/>
  <c r="H12" i="6"/>
  <c r="H13" i="6"/>
  <c r="H14" i="6"/>
  <c r="H15" i="6"/>
  <c r="H16" i="6"/>
  <c r="H17" i="6"/>
  <c r="H18" i="6"/>
  <c r="H19" i="6"/>
  <c r="H20" i="6"/>
  <c r="H10" i="6"/>
  <c r="N22" i="6" s="1"/>
  <c r="I51" i="9" l="1"/>
  <c r="K51" i="9"/>
  <c r="K55" i="9"/>
  <c r="H59" i="9"/>
  <c r="J51" i="9"/>
  <c r="G59" i="9"/>
  <c r="N58" i="9"/>
  <c r="L59" i="9"/>
  <c r="L55" i="9"/>
  <c r="N36" i="9"/>
  <c r="M36" i="9"/>
  <c r="H55" i="9"/>
  <c r="H38" i="9"/>
  <c r="K38" i="9"/>
  <c r="J38" i="9"/>
  <c r="G38" i="9"/>
  <c r="L38" i="9"/>
  <c r="I38" i="9"/>
  <c r="L51" i="9"/>
  <c r="G51" i="9"/>
  <c r="K59" i="9"/>
  <c r="I59" i="9"/>
  <c r="I30" i="9"/>
  <c r="J30" i="9"/>
  <c r="K30" i="9"/>
  <c r="L30" i="9"/>
  <c r="G30" i="9"/>
  <c r="H30" i="9"/>
  <c r="N37" i="9"/>
  <c r="M37" i="9"/>
  <c r="K66" i="7"/>
  <c r="S66" i="7"/>
  <c r="H40" i="7"/>
  <c r="D30" i="17" s="1"/>
  <c r="M27" i="7"/>
  <c r="M40" i="7" s="1"/>
  <c r="B49" i="9"/>
  <c r="D53" i="9"/>
  <c r="C51" i="9"/>
  <c r="E54" i="9"/>
  <c r="F55" i="9"/>
  <c r="E51" i="9"/>
  <c r="B51" i="9"/>
  <c r="D51" i="9"/>
  <c r="E55" i="9"/>
  <c r="B54" i="9"/>
  <c r="F53" i="9"/>
  <c r="C54" i="9"/>
  <c r="I55" i="9"/>
  <c r="G55" i="9"/>
  <c r="H34" i="9"/>
  <c r="K34" i="9"/>
  <c r="J34" i="9"/>
  <c r="G34" i="9"/>
  <c r="L34" i="9"/>
  <c r="I34" i="9"/>
  <c r="C57" i="9"/>
  <c r="C53" i="9"/>
  <c r="B53" i="9"/>
  <c r="E49" i="9"/>
  <c r="E59" i="9"/>
  <c r="N33" i="9"/>
  <c r="M33" i="9"/>
  <c r="M32" i="9"/>
  <c r="N32" i="9"/>
  <c r="E57" i="9"/>
  <c r="C59" i="9"/>
  <c r="E38" i="9"/>
  <c r="D38" i="9"/>
  <c r="C38" i="9"/>
  <c r="F38" i="9"/>
  <c r="B38" i="9"/>
  <c r="E36" i="9"/>
  <c r="D36" i="9"/>
  <c r="C36" i="9"/>
  <c r="F36" i="9"/>
  <c r="B36" i="9"/>
  <c r="B57" i="9"/>
  <c r="F59" i="9"/>
  <c r="D57" i="9"/>
  <c r="B59" i="9"/>
  <c r="E37" i="9"/>
  <c r="D37" i="9"/>
  <c r="C37" i="9"/>
  <c r="B37" i="9"/>
  <c r="F37" i="9"/>
  <c r="F32" i="9"/>
  <c r="E32" i="9"/>
  <c r="D32" i="9"/>
  <c r="B32" i="9"/>
  <c r="C32" i="9"/>
  <c r="B55" i="9"/>
  <c r="D55" i="9"/>
  <c r="F54" i="9"/>
  <c r="B34" i="9"/>
  <c r="D34" i="9"/>
  <c r="F34" i="9"/>
  <c r="E34" i="9"/>
  <c r="C34" i="9"/>
  <c r="F33" i="9"/>
  <c r="C33" i="9"/>
  <c r="D33" i="9"/>
  <c r="B33" i="9"/>
  <c r="E33" i="9"/>
  <c r="C30" i="9"/>
  <c r="E30" i="9"/>
  <c r="D30" i="9"/>
  <c r="F30" i="9"/>
  <c r="B30" i="9"/>
  <c r="C49" i="9"/>
  <c r="F49" i="9"/>
  <c r="D29" i="9"/>
  <c r="B29" i="9"/>
  <c r="E29" i="9"/>
  <c r="F29" i="9"/>
  <c r="C29" i="9"/>
  <c r="C28" i="9"/>
  <c r="E28" i="9"/>
  <c r="B28" i="9"/>
  <c r="F28" i="9"/>
  <c r="D28" i="9"/>
  <c r="M28" i="7"/>
  <c r="M44" i="7" s="1"/>
  <c r="Q20" i="6"/>
  <c r="U20" i="6" s="1"/>
  <c r="P20" i="6"/>
  <c r="T20" i="6" s="1"/>
  <c r="O20" i="6"/>
  <c r="S20" i="6" s="1"/>
  <c r="N20" i="6"/>
  <c r="R20" i="6" s="1"/>
  <c r="O10" i="6"/>
  <c r="Q10" i="6"/>
  <c r="P10" i="6"/>
  <c r="Q19" i="6"/>
  <c r="U19" i="6" s="1"/>
  <c r="N19" i="6"/>
  <c r="R19" i="6" s="1"/>
  <c r="P19" i="6"/>
  <c r="T19" i="6" s="1"/>
  <c r="O19" i="6"/>
  <c r="S19" i="6" s="1"/>
  <c r="O17" i="6"/>
  <c r="Q17" i="6"/>
  <c r="N17" i="6"/>
  <c r="I26" i="6" s="1"/>
  <c r="P17" i="6"/>
  <c r="Q15" i="6"/>
  <c r="U15" i="6" s="1"/>
  <c r="N15" i="6"/>
  <c r="P15" i="6"/>
  <c r="T15" i="6" s="1"/>
  <c r="O15" i="6"/>
  <c r="S15" i="6" s="1"/>
  <c r="O13" i="6"/>
  <c r="Q13" i="6"/>
  <c r="P13" i="6"/>
  <c r="Q11" i="6"/>
  <c r="N11" i="6"/>
  <c r="P11" i="6"/>
  <c r="O11" i="6"/>
  <c r="P18" i="6"/>
  <c r="T18" i="6" s="1"/>
  <c r="O18" i="6"/>
  <c r="S18" i="6" s="1"/>
  <c r="N18" i="6"/>
  <c r="Q18" i="6"/>
  <c r="U18" i="6" s="1"/>
  <c r="Q16" i="6"/>
  <c r="U16" i="6" s="1"/>
  <c r="P16" i="6"/>
  <c r="T16" i="6" s="1"/>
  <c r="O16" i="6"/>
  <c r="S16" i="6" s="1"/>
  <c r="N16" i="6"/>
  <c r="R16" i="6" s="1"/>
  <c r="P14" i="6"/>
  <c r="O14" i="6"/>
  <c r="N14" i="6"/>
  <c r="R14" i="6" s="1"/>
  <c r="Q14" i="6"/>
  <c r="Q12" i="6"/>
  <c r="U12" i="6" s="1"/>
  <c r="P12" i="6"/>
  <c r="T12" i="6" s="1"/>
  <c r="O12" i="6"/>
  <c r="S12" i="6" s="1"/>
  <c r="N12" i="6"/>
  <c r="R12" i="6" s="1"/>
  <c r="L23" i="7"/>
  <c r="L22" i="7"/>
  <c r="J23" i="7"/>
  <c r="J22" i="7"/>
  <c r="I23" i="7"/>
  <c r="I22" i="7"/>
  <c r="H23" i="7"/>
  <c r="H22" i="7"/>
  <c r="M49" i="9"/>
  <c r="N49" i="9"/>
  <c r="D50" i="9"/>
  <c r="F50" i="9"/>
  <c r="C50" i="9"/>
  <c r="E50" i="9"/>
  <c r="B50" i="9"/>
  <c r="I75" i="8"/>
  <c r="I74" i="8"/>
  <c r="G75" i="8"/>
  <c r="G74" i="8"/>
  <c r="H75" i="8"/>
  <c r="H74" i="8"/>
  <c r="H21" i="6"/>
  <c r="J21" i="6"/>
  <c r="E19" i="1"/>
  <c r="C19" i="1"/>
  <c r="F19" i="1"/>
  <c r="D19" i="1"/>
  <c r="B75" i="7"/>
  <c r="D75" i="7" s="1"/>
  <c r="I21" i="6"/>
  <c r="D32" i="17" l="1"/>
  <c r="R18" i="6"/>
  <c r="G26" i="6"/>
  <c r="G12" i="14" s="1"/>
  <c r="R15" i="6"/>
  <c r="H36" i="6" s="1"/>
  <c r="H26" i="6"/>
  <c r="D30" i="11"/>
  <c r="D31" i="11"/>
  <c r="H48" i="7"/>
  <c r="F29" i="6"/>
  <c r="F45" i="14" s="1"/>
  <c r="U14" i="6"/>
  <c r="F39" i="6" s="1"/>
  <c r="F27" i="6"/>
  <c r="F23" i="14" s="1"/>
  <c r="S14" i="6"/>
  <c r="F37" i="6" s="1"/>
  <c r="C27" i="6"/>
  <c r="C23" i="14" s="1"/>
  <c r="S11" i="6"/>
  <c r="C37" i="6" s="1"/>
  <c r="C26" i="6"/>
  <c r="C12" i="14" s="1"/>
  <c r="R11" i="6"/>
  <c r="C36" i="6" s="1"/>
  <c r="E28" i="6"/>
  <c r="E34" i="14" s="1"/>
  <c r="T13" i="6"/>
  <c r="E38" i="6" s="1"/>
  <c r="E29" i="6"/>
  <c r="E45" i="14" s="1"/>
  <c r="U13" i="6"/>
  <c r="E39" i="6" s="1"/>
  <c r="I28" i="6"/>
  <c r="I34" i="14" s="1"/>
  <c r="T17" i="6"/>
  <c r="I38" i="6" s="1"/>
  <c r="I29" i="6"/>
  <c r="I45" i="14" s="1"/>
  <c r="U17" i="6"/>
  <c r="I39" i="6" s="1"/>
  <c r="B28" i="6"/>
  <c r="B34" i="14" s="1"/>
  <c r="T10" i="6"/>
  <c r="B38" i="6" s="1"/>
  <c r="B29" i="6"/>
  <c r="B45" i="14" s="1"/>
  <c r="U10" i="6"/>
  <c r="B39" i="6" s="1"/>
  <c r="F26" i="6"/>
  <c r="F12" i="14" s="1"/>
  <c r="F36" i="6"/>
  <c r="F28" i="6"/>
  <c r="F34" i="14" s="1"/>
  <c r="T14" i="6"/>
  <c r="F38" i="6" s="1"/>
  <c r="C28" i="6"/>
  <c r="C34" i="14" s="1"/>
  <c r="T11" i="6"/>
  <c r="C38" i="6" s="1"/>
  <c r="C29" i="6"/>
  <c r="C45" i="14" s="1"/>
  <c r="U11" i="6"/>
  <c r="C39" i="6" s="1"/>
  <c r="E26" i="6"/>
  <c r="E12" i="14" s="1"/>
  <c r="R13" i="6"/>
  <c r="E36" i="6" s="1"/>
  <c r="E27" i="6"/>
  <c r="E23" i="14" s="1"/>
  <c r="S13" i="6"/>
  <c r="E37" i="6" s="1"/>
  <c r="I12" i="14"/>
  <c r="R17" i="6"/>
  <c r="I12" i="3" s="1"/>
  <c r="I27" i="6"/>
  <c r="I23" i="14" s="1"/>
  <c r="S17" i="6"/>
  <c r="I37" i="6" s="1"/>
  <c r="B26" i="6"/>
  <c r="B12" i="14" s="1"/>
  <c r="R10" i="6"/>
  <c r="B36" i="6" s="1"/>
  <c r="B27" i="6"/>
  <c r="B23" i="14" s="1"/>
  <c r="S10" i="6"/>
  <c r="B37" i="6" s="1"/>
  <c r="M48" i="7"/>
  <c r="G29" i="6"/>
  <c r="G45" i="14" s="1"/>
  <c r="D26" i="6"/>
  <c r="D12" i="14" s="1"/>
  <c r="D29" i="6"/>
  <c r="D45" i="14" s="1"/>
  <c r="G28" i="6"/>
  <c r="G34" i="14" s="1"/>
  <c r="G27" i="6"/>
  <c r="G23" i="14" s="1"/>
  <c r="D28" i="6"/>
  <c r="D34" i="14" s="1"/>
  <c r="D27" i="6"/>
  <c r="H27" i="6"/>
  <c r="H23" i="14" s="1"/>
  <c r="H28" i="6"/>
  <c r="H34" i="14" s="1"/>
  <c r="H29" i="6"/>
  <c r="H37" i="6"/>
  <c r="N21" i="6"/>
  <c r="O21" i="6"/>
  <c r="P21" i="6"/>
  <c r="Q21" i="6"/>
  <c r="O74" i="8"/>
  <c r="K74" i="8"/>
  <c r="Q74" i="8"/>
  <c r="M74" i="8"/>
  <c r="P75" i="8"/>
  <c r="L75" i="8"/>
  <c r="O75" i="8"/>
  <c r="K75" i="8"/>
  <c r="Q75" i="8"/>
  <c r="M75" i="8"/>
  <c r="P74" i="8"/>
  <c r="L74" i="8"/>
  <c r="D32" i="11" l="1"/>
  <c r="L76" i="8"/>
  <c r="C143" i="8" s="1"/>
  <c r="C30" i="14" s="1"/>
  <c r="P76" i="8"/>
  <c r="C151" i="8" s="1"/>
  <c r="C30" i="3" s="1"/>
  <c r="G39" i="6"/>
  <c r="G46" i="14" s="1"/>
  <c r="D37" i="6"/>
  <c r="D23" i="3" s="1"/>
  <c r="M26" i="6"/>
  <c r="H12" i="14"/>
  <c r="M27" i="6"/>
  <c r="D23" i="14"/>
  <c r="D38" i="6"/>
  <c r="D34" i="3" s="1"/>
  <c r="M29" i="6"/>
  <c r="H45" i="14"/>
  <c r="B45" i="3"/>
  <c r="M28" i="6"/>
  <c r="G37" i="6"/>
  <c r="G23" i="3" s="1"/>
  <c r="H38" i="6"/>
  <c r="H35" i="14" s="1"/>
  <c r="H39" i="6"/>
  <c r="G38" i="6"/>
  <c r="G35" i="14" s="1"/>
  <c r="R21" i="6"/>
  <c r="B34" i="3"/>
  <c r="T21" i="6"/>
  <c r="D36" i="6"/>
  <c r="D12" i="3" s="1"/>
  <c r="G36" i="6"/>
  <c r="U21" i="6"/>
  <c r="S21" i="6"/>
  <c r="G13" i="14"/>
  <c r="C23" i="3"/>
  <c r="I23" i="3"/>
  <c r="C12" i="3"/>
  <c r="C13" i="14"/>
  <c r="B46" i="14"/>
  <c r="I45" i="3"/>
  <c r="E23" i="3"/>
  <c r="E24" i="14"/>
  <c r="F23" i="3"/>
  <c r="F45" i="3"/>
  <c r="D39" i="6"/>
  <c r="B23" i="3"/>
  <c r="H12" i="3"/>
  <c r="B35" i="14"/>
  <c r="C45" i="3"/>
  <c r="I34" i="3"/>
  <c r="E34" i="3"/>
  <c r="E35" i="14"/>
  <c r="E12" i="3"/>
  <c r="E13" i="14"/>
  <c r="B24" i="14"/>
  <c r="E45" i="3"/>
  <c r="E46" i="14"/>
  <c r="H23" i="3"/>
  <c r="H24" i="14"/>
  <c r="F12" i="3"/>
  <c r="B13" i="14"/>
  <c r="C34" i="3"/>
  <c r="I36" i="6"/>
  <c r="F34" i="3"/>
  <c r="B12" i="3"/>
  <c r="M76" i="8"/>
  <c r="C144" i="8" s="1"/>
  <c r="C41" i="14" s="1"/>
  <c r="K76" i="8"/>
  <c r="C142" i="8" s="1"/>
  <c r="C19" i="14" s="1"/>
  <c r="Q76" i="8"/>
  <c r="C152" i="8" s="1"/>
  <c r="C41" i="3" s="1"/>
  <c r="O76" i="8"/>
  <c r="C150" i="8" s="1"/>
  <c r="C19" i="3" s="1"/>
  <c r="H9" i="4"/>
  <c r="C83" i="8"/>
  <c r="D83" i="8"/>
  <c r="E83" i="8"/>
  <c r="F83" i="8"/>
  <c r="G83" i="8"/>
  <c r="C61" i="8"/>
  <c r="C10" i="9"/>
  <c r="D10" i="9"/>
  <c r="E10" i="9"/>
  <c r="F10" i="9"/>
  <c r="H10" i="9"/>
  <c r="I10" i="9"/>
  <c r="J10" i="9"/>
  <c r="K10" i="9"/>
  <c r="L10" i="9"/>
  <c r="M10" i="9"/>
  <c r="N10" i="9"/>
  <c r="C11" i="9"/>
  <c r="D11" i="9"/>
  <c r="E11" i="9"/>
  <c r="F11" i="9"/>
  <c r="H11" i="9"/>
  <c r="I11" i="9"/>
  <c r="J11" i="9"/>
  <c r="K11" i="9"/>
  <c r="L11" i="9"/>
  <c r="M11" i="9"/>
  <c r="N11" i="9"/>
  <c r="G19" i="1"/>
  <c r="I19" i="1"/>
  <c r="P19" i="1"/>
  <c r="B10" i="9"/>
  <c r="B11" i="9"/>
  <c r="B17" i="4"/>
  <c r="O59" i="9"/>
  <c r="O58" i="9"/>
  <c r="O57" i="9"/>
  <c r="O55" i="9"/>
  <c r="O54" i="9"/>
  <c r="O53" i="9"/>
  <c r="R67" i="7"/>
  <c r="R68" i="7"/>
  <c r="R69" i="7"/>
  <c r="R70" i="7"/>
  <c r="R66" i="7"/>
  <c r="Q67" i="7"/>
  <c r="Q68" i="7"/>
  <c r="Q69" i="7"/>
  <c r="Q70" i="7"/>
  <c r="Q66" i="7"/>
  <c r="C15" i="10"/>
  <c r="C14" i="10"/>
  <c r="C13" i="10"/>
  <c r="C12" i="10"/>
  <c r="C11" i="10"/>
  <c r="A15" i="4"/>
  <c r="A16" i="4"/>
  <c r="A17" i="4"/>
  <c r="A18" i="4"/>
  <c r="A14" i="4"/>
  <c r="H13" i="3" l="1"/>
  <c r="E13" i="3"/>
  <c r="C24" i="14"/>
  <c r="G24" i="3"/>
  <c r="H13" i="14"/>
  <c r="C46" i="14"/>
  <c r="H24" i="3"/>
  <c r="C35" i="14"/>
  <c r="G45" i="3"/>
  <c r="N95" i="9"/>
  <c r="N83" i="9"/>
  <c r="N87" i="9"/>
  <c r="N91" i="9"/>
  <c r="L87" i="9"/>
  <c r="L91" i="9"/>
  <c r="L95" i="9"/>
  <c r="L83" i="9"/>
  <c r="H87" i="9"/>
  <c r="H91" i="9"/>
  <c r="H95" i="9"/>
  <c r="H83" i="9"/>
  <c r="K90" i="9"/>
  <c r="K94" i="9"/>
  <c r="K82" i="9"/>
  <c r="K86" i="9"/>
  <c r="K91" i="9"/>
  <c r="K95" i="9"/>
  <c r="K83" i="9"/>
  <c r="K87" i="9"/>
  <c r="N94" i="9"/>
  <c r="N82" i="9"/>
  <c r="N86" i="9"/>
  <c r="N90" i="9"/>
  <c r="J94" i="9"/>
  <c r="J82" i="9"/>
  <c r="J86" i="9"/>
  <c r="J90" i="9"/>
  <c r="J95" i="9"/>
  <c r="J83" i="9"/>
  <c r="J87" i="9"/>
  <c r="J91" i="9"/>
  <c r="M82" i="9"/>
  <c r="M86" i="9"/>
  <c r="M90" i="9"/>
  <c r="M94" i="9"/>
  <c r="I82" i="9"/>
  <c r="I86" i="9"/>
  <c r="I90" i="9"/>
  <c r="I94" i="9"/>
  <c r="M83" i="9"/>
  <c r="M87" i="9"/>
  <c r="M91" i="9"/>
  <c r="M95" i="9"/>
  <c r="I83" i="9"/>
  <c r="I87" i="9"/>
  <c r="I91" i="9"/>
  <c r="I95" i="9"/>
  <c r="L86" i="9"/>
  <c r="L90" i="9"/>
  <c r="L94" i="9"/>
  <c r="L82" i="9"/>
  <c r="H86" i="9"/>
  <c r="H90" i="9"/>
  <c r="H94" i="9"/>
  <c r="H82" i="9"/>
  <c r="C95" i="9"/>
  <c r="C87" i="9"/>
  <c r="C91" i="9"/>
  <c r="C83" i="9"/>
  <c r="F82" i="9"/>
  <c r="F86" i="9"/>
  <c r="F90" i="9"/>
  <c r="B91" i="9"/>
  <c r="B83" i="9"/>
  <c r="B95" i="9"/>
  <c r="B87" i="9"/>
  <c r="F91" i="9"/>
  <c r="F95" i="9"/>
  <c r="F87" i="9"/>
  <c r="F83" i="9"/>
  <c r="E90" i="9"/>
  <c r="E82" i="9"/>
  <c r="E86" i="9"/>
  <c r="B90" i="9"/>
  <c r="B82" i="9"/>
  <c r="B86" i="9"/>
  <c r="E83" i="9"/>
  <c r="E95" i="9"/>
  <c r="E87" i="9"/>
  <c r="E91" i="9"/>
  <c r="D90" i="9"/>
  <c r="D82" i="9"/>
  <c r="D86" i="9"/>
  <c r="D95" i="9"/>
  <c r="D87" i="9"/>
  <c r="D91" i="9"/>
  <c r="D83" i="9"/>
  <c r="C90" i="9"/>
  <c r="C82" i="9"/>
  <c r="C86" i="9"/>
  <c r="M39" i="6"/>
  <c r="H46" i="14"/>
  <c r="H45" i="3"/>
  <c r="G24" i="14"/>
  <c r="T12" i="14"/>
  <c r="M37" i="6"/>
  <c r="M36" i="6"/>
  <c r="M38" i="6"/>
  <c r="H34" i="3"/>
  <c r="G12" i="3"/>
  <c r="G34" i="3"/>
  <c r="T34" i="14"/>
  <c r="D45" i="3"/>
  <c r="T23" i="14"/>
  <c r="M53" i="9"/>
  <c r="N53" i="9"/>
  <c r="M57" i="9"/>
  <c r="N57" i="9"/>
  <c r="T23" i="3"/>
  <c r="D58" i="9"/>
  <c r="D94" i="9" s="1"/>
  <c r="F58" i="9"/>
  <c r="F94" i="9" s="1"/>
  <c r="C58" i="9"/>
  <c r="C94" i="9" s="1"/>
  <c r="E58" i="9"/>
  <c r="E94" i="9" s="1"/>
  <c r="B58" i="9"/>
  <c r="B94" i="9" s="1"/>
  <c r="L19" i="1"/>
  <c r="K19" i="1"/>
  <c r="N19" i="1"/>
  <c r="O19" i="1"/>
  <c r="T7" i="1"/>
  <c r="T15" i="1"/>
  <c r="T13" i="1"/>
  <c r="T11" i="1"/>
  <c r="T9" i="1"/>
  <c r="J19" i="1"/>
  <c r="T18" i="1"/>
  <c r="G11" i="9"/>
  <c r="T17" i="1"/>
  <c r="G10" i="9"/>
  <c r="T16" i="1"/>
  <c r="B83" i="8"/>
  <c r="T12" i="1"/>
  <c r="T14" i="1"/>
  <c r="T10" i="1"/>
  <c r="T8" i="1"/>
  <c r="M19" i="1"/>
  <c r="R19" i="1"/>
  <c r="H19" i="1"/>
  <c r="C26" i="7"/>
  <c r="C27" i="7" s="1"/>
  <c r="B26" i="7"/>
  <c r="B27" i="7" s="1"/>
  <c r="O11" i="9"/>
  <c r="K56" i="3"/>
  <c r="O10" i="9"/>
  <c r="K55" i="3"/>
  <c r="K53" i="3"/>
  <c r="K54" i="3"/>
  <c r="F82" i="8"/>
  <c r="D82" i="8"/>
  <c r="B82" i="8"/>
  <c r="K52" i="3"/>
  <c r="G82" i="8"/>
  <c r="E82" i="8"/>
  <c r="C82" i="8"/>
  <c r="C84" i="8" s="1"/>
  <c r="B9" i="9"/>
  <c r="B71" i="9" s="1"/>
  <c r="N9" i="9"/>
  <c r="N71" i="9" s="1"/>
  <c r="L9" i="9"/>
  <c r="L71" i="9" s="1"/>
  <c r="J9" i="9"/>
  <c r="J71" i="9" s="1"/>
  <c r="H9" i="9"/>
  <c r="H71" i="9" s="1"/>
  <c r="F9" i="9"/>
  <c r="F71" i="9" s="1"/>
  <c r="D9" i="9"/>
  <c r="D71" i="9" s="1"/>
  <c r="O9" i="9"/>
  <c r="O71" i="9" s="1"/>
  <c r="M9" i="9"/>
  <c r="M71" i="9" s="1"/>
  <c r="K9" i="9"/>
  <c r="K71" i="9" s="1"/>
  <c r="I9" i="9"/>
  <c r="I71" i="9" s="1"/>
  <c r="G9" i="9"/>
  <c r="G71" i="9" s="1"/>
  <c r="E9" i="9"/>
  <c r="E71" i="9" s="1"/>
  <c r="C9" i="9"/>
  <c r="C53" i="8"/>
  <c r="C42" i="8" s="1"/>
  <c r="B17" i="8"/>
  <c r="B17" i="9"/>
  <c r="L73" i="9" s="1"/>
  <c r="B16" i="9"/>
  <c r="L72" i="9" s="1"/>
  <c r="E57" i="3" l="1"/>
  <c r="D112" i="3" s="1"/>
  <c r="U23" i="3"/>
  <c r="C71" i="9"/>
  <c r="D31" i="14" s="1"/>
  <c r="C63" i="9"/>
  <c r="D9" i="14" s="1"/>
  <c r="O23" i="8"/>
  <c r="P23" i="8" s="1"/>
  <c r="B18" i="8"/>
  <c r="D33" i="7"/>
  <c r="C33" i="7"/>
  <c r="G13" i="3"/>
  <c r="H35" i="3"/>
  <c r="G35" i="3"/>
  <c r="H46" i="3"/>
  <c r="G46" i="3"/>
  <c r="B129" i="3"/>
  <c r="B131" i="3"/>
  <c r="B130" i="3"/>
  <c r="B128" i="3"/>
  <c r="B122" i="3"/>
  <c r="B124" i="3"/>
  <c r="B123" i="3"/>
  <c r="B121" i="3"/>
  <c r="B137" i="3"/>
  <c r="B139" i="3"/>
  <c r="B138" i="3"/>
  <c r="B136" i="3"/>
  <c r="O72" i="9"/>
  <c r="R32" i="14" s="1"/>
  <c r="O73" i="9"/>
  <c r="R33" i="14" s="1"/>
  <c r="P56" i="14" s="1"/>
  <c r="Q56" i="14" s="1"/>
  <c r="G72" i="9"/>
  <c r="J32" i="14" s="1"/>
  <c r="G73" i="9"/>
  <c r="J33" i="14" s="1"/>
  <c r="D72" i="9"/>
  <c r="I72" i="9"/>
  <c r="L32" i="14" s="1"/>
  <c r="M72" i="9"/>
  <c r="P32" i="14" s="1"/>
  <c r="E73" i="9"/>
  <c r="J73" i="9"/>
  <c r="M33" i="14" s="1"/>
  <c r="B72" i="9"/>
  <c r="E72" i="9"/>
  <c r="J72" i="9"/>
  <c r="M32" i="14" s="1"/>
  <c r="N72" i="9"/>
  <c r="Q32" i="14" s="1"/>
  <c r="F73" i="9"/>
  <c r="K73" i="9"/>
  <c r="N33" i="14" s="1"/>
  <c r="B73" i="9"/>
  <c r="F72" i="9"/>
  <c r="K72" i="9"/>
  <c r="N32" i="14" s="1"/>
  <c r="C73" i="9"/>
  <c r="D33" i="14" s="1"/>
  <c r="H73" i="9"/>
  <c r="K33" i="14" s="1"/>
  <c r="N73" i="9"/>
  <c r="Q33" i="14" s="1"/>
  <c r="C72" i="9"/>
  <c r="D32" i="14" s="1"/>
  <c r="H72" i="9"/>
  <c r="K32" i="14" s="1"/>
  <c r="D73" i="9"/>
  <c r="I73" i="9"/>
  <c r="L33" i="14" s="1"/>
  <c r="M73" i="9"/>
  <c r="P33" i="14" s="1"/>
  <c r="G89" i="9"/>
  <c r="J31" i="3" s="1"/>
  <c r="G93" i="9"/>
  <c r="G81" i="9"/>
  <c r="G85" i="9"/>
  <c r="O93" i="9"/>
  <c r="O81" i="9"/>
  <c r="R9" i="3" s="1"/>
  <c r="L54" i="3" s="1"/>
  <c r="O85" i="9"/>
  <c r="O89" i="9"/>
  <c r="J93" i="9"/>
  <c r="J81" i="9"/>
  <c r="J85" i="9"/>
  <c r="J89" i="9"/>
  <c r="K89" i="9"/>
  <c r="K93" i="9"/>
  <c r="K81" i="9"/>
  <c r="K85" i="9"/>
  <c r="N93" i="9"/>
  <c r="Q42" i="3" s="1"/>
  <c r="N81" i="9"/>
  <c r="N85" i="9"/>
  <c r="N89" i="9"/>
  <c r="O86" i="9"/>
  <c r="O90" i="9"/>
  <c r="O94" i="9"/>
  <c r="O82" i="9"/>
  <c r="G91" i="9"/>
  <c r="G95" i="9"/>
  <c r="G83" i="9"/>
  <c r="G87" i="9"/>
  <c r="M81" i="9"/>
  <c r="M85" i="9"/>
  <c r="M89" i="9"/>
  <c r="M93" i="9"/>
  <c r="H85" i="9"/>
  <c r="H89" i="9"/>
  <c r="H93" i="9"/>
  <c r="H81" i="9"/>
  <c r="O83" i="9"/>
  <c r="O87" i="9"/>
  <c r="O91" i="9"/>
  <c r="O95" i="9"/>
  <c r="G90" i="9"/>
  <c r="G94" i="9"/>
  <c r="G82" i="9"/>
  <c r="G86" i="9"/>
  <c r="I81" i="9"/>
  <c r="I85" i="9"/>
  <c r="I89" i="9"/>
  <c r="L31" i="3" s="1"/>
  <c r="I93" i="9"/>
  <c r="L85" i="9"/>
  <c r="L89" i="9"/>
  <c r="L93" i="9"/>
  <c r="L81" i="9"/>
  <c r="C93" i="9"/>
  <c r="C89" i="9"/>
  <c r="C81" i="9"/>
  <c r="C85" i="9"/>
  <c r="E93" i="9"/>
  <c r="E85" i="9"/>
  <c r="E89" i="9"/>
  <c r="E81" i="9"/>
  <c r="B89" i="9"/>
  <c r="B93" i="9"/>
  <c r="B85" i="9"/>
  <c r="B81" i="9"/>
  <c r="F89" i="9"/>
  <c r="F93" i="9"/>
  <c r="F85" i="9"/>
  <c r="F81" i="9"/>
  <c r="D89" i="9"/>
  <c r="D85" i="9"/>
  <c r="D81" i="9"/>
  <c r="D93" i="9"/>
  <c r="Q10" i="9"/>
  <c r="B55" i="14"/>
  <c r="B57" i="3"/>
  <c r="B57" i="14"/>
  <c r="B54" i="14"/>
  <c r="Q11" i="9"/>
  <c r="B56" i="14"/>
  <c r="B53" i="14"/>
  <c r="B52" i="14"/>
  <c r="T45" i="3"/>
  <c r="I57" i="3" s="1"/>
  <c r="T34" i="3"/>
  <c r="G57" i="3" s="1"/>
  <c r="T12" i="3"/>
  <c r="C57" i="3" s="1"/>
  <c r="T45" i="14"/>
  <c r="E57" i="14"/>
  <c r="C112" i="3" s="1"/>
  <c r="C57" i="14"/>
  <c r="C111" i="3" s="1"/>
  <c r="G57" i="14"/>
  <c r="C113" i="3" s="1"/>
  <c r="O64" i="9"/>
  <c r="R10" i="14" s="1"/>
  <c r="D76" i="9"/>
  <c r="F76" i="9"/>
  <c r="H76" i="9"/>
  <c r="K43" i="14" s="1"/>
  <c r="J76" i="9"/>
  <c r="M43" i="14" s="1"/>
  <c r="L76" i="9"/>
  <c r="O43" i="14" s="1"/>
  <c r="N76" i="9"/>
  <c r="Q43" i="14" s="1"/>
  <c r="C68" i="9"/>
  <c r="D21" i="14" s="1"/>
  <c r="E68" i="9"/>
  <c r="G68" i="9"/>
  <c r="J21" i="14" s="1"/>
  <c r="I68" i="9"/>
  <c r="L21" i="14" s="1"/>
  <c r="K68" i="9"/>
  <c r="N21" i="14" s="1"/>
  <c r="M68" i="9"/>
  <c r="P21" i="14" s="1"/>
  <c r="D64" i="9"/>
  <c r="F64" i="9"/>
  <c r="H64" i="9"/>
  <c r="K10" i="14" s="1"/>
  <c r="J64" i="9"/>
  <c r="M10" i="14" s="1"/>
  <c r="L64" i="9"/>
  <c r="O10" i="14" s="1"/>
  <c r="N64" i="9"/>
  <c r="Q10" i="14" s="1"/>
  <c r="O76" i="9"/>
  <c r="R43" i="14" s="1"/>
  <c r="O68" i="9"/>
  <c r="R21" i="14" s="1"/>
  <c r="C76" i="9"/>
  <c r="D43" i="14" s="1"/>
  <c r="E76" i="9"/>
  <c r="G76" i="9"/>
  <c r="J43" i="14" s="1"/>
  <c r="I76" i="9"/>
  <c r="L43" i="14" s="1"/>
  <c r="K76" i="9"/>
  <c r="N43" i="14" s="1"/>
  <c r="M76" i="9"/>
  <c r="P43" i="14" s="1"/>
  <c r="B76" i="9"/>
  <c r="O32" i="14"/>
  <c r="D68" i="9"/>
  <c r="H68" i="9"/>
  <c r="K21" i="14" s="1"/>
  <c r="L68" i="9"/>
  <c r="O21" i="14" s="1"/>
  <c r="B68" i="9"/>
  <c r="E64" i="9"/>
  <c r="I64" i="9"/>
  <c r="L10" i="14" s="1"/>
  <c r="M64" i="9"/>
  <c r="P10" i="14" s="1"/>
  <c r="F68" i="9"/>
  <c r="J68" i="9"/>
  <c r="M21" i="14" s="1"/>
  <c r="N68" i="9"/>
  <c r="Q21" i="14" s="1"/>
  <c r="C64" i="9"/>
  <c r="D10" i="14" s="1"/>
  <c r="G64" i="9"/>
  <c r="J10" i="14" s="1"/>
  <c r="K64" i="9"/>
  <c r="N10" i="14" s="1"/>
  <c r="B64" i="9"/>
  <c r="N21" i="3"/>
  <c r="O10" i="3"/>
  <c r="L10" i="3"/>
  <c r="R31" i="14"/>
  <c r="O63" i="9"/>
  <c r="R9" i="14" s="1"/>
  <c r="D75" i="9"/>
  <c r="F75" i="9"/>
  <c r="I42" i="14" s="1"/>
  <c r="H75" i="9"/>
  <c r="K42" i="14" s="1"/>
  <c r="J75" i="9"/>
  <c r="M42" i="14" s="1"/>
  <c r="L75" i="9"/>
  <c r="O42" i="14" s="1"/>
  <c r="N75" i="9"/>
  <c r="Q42" i="14" s="1"/>
  <c r="J31" i="14"/>
  <c r="L31" i="14"/>
  <c r="N31" i="14"/>
  <c r="P31" i="14"/>
  <c r="C67" i="9"/>
  <c r="D20" i="14" s="1"/>
  <c r="E67" i="9"/>
  <c r="G67" i="9"/>
  <c r="J20" i="14" s="1"/>
  <c r="I67" i="9"/>
  <c r="L20" i="14" s="1"/>
  <c r="K67" i="9"/>
  <c r="N20" i="14" s="1"/>
  <c r="M67" i="9"/>
  <c r="P20" i="14" s="1"/>
  <c r="B67" i="9"/>
  <c r="D63" i="9"/>
  <c r="F63" i="9"/>
  <c r="I9" i="14" s="1"/>
  <c r="H63" i="9"/>
  <c r="K9" i="14" s="1"/>
  <c r="J63" i="9"/>
  <c r="M9" i="14" s="1"/>
  <c r="L63" i="9"/>
  <c r="O9" i="14" s="1"/>
  <c r="N63" i="9"/>
  <c r="Q9" i="14" s="1"/>
  <c r="O75" i="9"/>
  <c r="R42" i="14" s="1"/>
  <c r="O67" i="9"/>
  <c r="R20" i="14" s="1"/>
  <c r="C75" i="9"/>
  <c r="D42" i="14" s="1"/>
  <c r="E75" i="9"/>
  <c r="G75" i="9"/>
  <c r="J42" i="14" s="1"/>
  <c r="I75" i="9"/>
  <c r="L42" i="14" s="1"/>
  <c r="K75" i="9"/>
  <c r="N42" i="14" s="1"/>
  <c r="M75" i="9"/>
  <c r="P42" i="14" s="1"/>
  <c r="B75" i="9"/>
  <c r="I31" i="14"/>
  <c r="K31" i="14"/>
  <c r="M31" i="14"/>
  <c r="O31" i="14"/>
  <c r="Q31" i="14"/>
  <c r="D67" i="9"/>
  <c r="F67" i="9"/>
  <c r="I20" i="14" s="1"/>
  <c r="H67" i="9"/>
  <c r="K20" i="14" s="1"/>
  <c r="J67" i="9"/>
  <c r="M20" i="14" s="1"/>
  <c r="L67" i="9"/>
  <c r="O20" i="14" s="1"/>
  <c r="E63" i="9"/>
  <c r="I63" i="9"/>
  <c r="L9" i="14" s="1"/>
  <c r="M63" i="9"/>
  <c r="P9" i="14" s="1"/>
  <c r="B63" i="9"/>
  <c r="N67" i="9"/>
  <c r="Q20" i="14" s="1"/>
  <c r="G63" i="9"/>
  <c r="J9" i="14" s="1"/>
  <c r="K63" i="9"/>
  <c r="N9" i="14" s="1"/>
  <c r="O77" i="9"/>
  <c r="R44" i="14" s="1"/>
  <c r="O69" i="9"/>
  <c r="R22" i="14" s="1"/>
  <c r="D77" i="9"/>
  <c r="F77" i="9"/>
  <c r="H77" i="9"/>
  <c r="K44" i="14" s="1"/>
  <c r="J77" i="9"/>
  <c r="M44" i="14" s="1"/>
  <c r="L77" i="9"/>
  <c r="O44" i="14" s="1"/>
  <c r="N77" i="9"/>
  <c r="Q44" i="14" s="1"/>
  <c r="B77" i="9"/>
  <c r="C69" i="9"/>
  <c r="D22" i="14" s="1"/>
  <c r="E69" i="9"/>
  <c r="G69" i="9"/>
  <c r="J22" i="14" s="1"/>
  <c r="I69" i="9"/>
  <c r="L22" i="14" s="1"/>
  <c r="K69" i="9"/>
  <c r="N22" i="14" s="1"/>
  <c r="M69" i="9"/>
  <c r="P22" i="14" s="1"/>
  <c r="B69" i="9"/>
  <c r="D65" i="9"/>
  <c r="F65" i="9"/>
  <c r="H65" i="9"/>
  <c r="K11" i="14" s="1"/>
  <c r="J65" i="9"/>
  <c r="M11" i="14" s="1"/>
  <c r="L65" i="9"/>
  <c r="O11" i="14" s="1"/>
  <c r="N65" i="9"/>
  <c r="Q11" i="14" s="1"/>
  <c r="B65" i="9"/>
  <c r="O65" i="9"/>
  <c r="R11" i="14" s="1"/>
  <c r="C77" i="9"/>
  <c r="D44" i="14" s="1"/>
  <c r="E77" i="9"/>
  <c r="G77" i="9"/>
  <c r="J44" i="14" s="1"/>
  <c r="I77" i="9"/>
  <c r="L44" i="14" s="1"/>
  <c r="K77" i="9"/>
  <c r="N44" i="14" s="1"/>
  <c r="M77" i="9"/>
  <c r="P44" i="14" s="1"/>
  <c r="O33" i="14"/>
  <c r="D69" i="9"/>
  <c r="H69" i="9"/>
  <c r="K22" i="14" s="1"/>
  <c r="L69" i="9"/>
  <c r="O22" i="14" s="1"/>
  <c r="E65" i="9"/>
  <c r="I65" i="9"/>
  <c r="L11" i="14" s="1"/>
  <c r="M65" i="9"/>
  <c r="P11" i="14" s="1"/>
  <c r="F69" i="9"/>
  <c r="J69" i="9"/>
  <c r="M22" i="14" s="1"/>
  <c r="N69" i="9"/>
  <c r="Q22" i="14" s="1"/>
  <c r="C65" i="9"/>
  <c r="D11" i="14" s="1"/>
  <c r="G65" i="9"/>
  <c r="J11" i="14" s="1"/>
  <c r="K65" i="9"/>
  <c r="N11" i="14" s="1"/>
  <c r="R23" i="8"/>
  <c r="Q23" i="8" s="1"/>
  <c r="K43" i="3"/>
  <c r="E84" i="8"/>
  <c r="D84" i="8"/>
  <c r="G84" i="8"/>
  <c r="F84" i="8"/>
  <c r="B56" i="3"/>
  <c r="B84" i="8"/>
  <c r="T23" i="1"/>
  <c r="B52" i="3"/>
  <c r="Q9" i="9"/>
  <c r="B54" i="3"/>
  <c r="B53" i="3"/>
  <c r="B55" i="3"/>
  <c r="T19" i="1"/>
  <c r="B87" i="8"/>
  <c r="B88" i="8"/>
  <c r="C63" i="8"/>
  <c r="D126" i="8" l="1"/>
  <c r="D113" i="8"/>
  <c r="D114" i="8"/>
  <c r="E111" i="8"/>
  <c r="D111" i="3"/>
  <c r="D114" i="3"/>
  <c r="B98" i="3"/>
  <c r="B96" i="3"/>
  <c r="B97" i="3"/>
  <c r="B99" i="3"/>
  <c r="B106" i="3"/>
  <c r="B104" i="3"/>
  <c r="B105" i="3"/>
  <c r="B107" i="3"/>
  <c r="B91" i="3"/>
  <c r="B89" i="3"/>
  <c r="B90" i="3"/>
  <c r="B92" i="3"/>
  <c r="H57" i="3"/>
  <c r="D113" i="3"/>
  <c r="F57" i="3"/>
  <c r="B112" i="3"/>
  <c r="B114" i="3"/>
  <c r="B113" i="3"/>
  <c r="B111" i="3"/>
  <c r="Q12" i="9"/>
  <c r="D57" i="3"/>
  <c r="J57" i="3"/>
  <c r="D57" i="14"/>
  <c r="B58" i="14"/>
  <c r="U63" i="8"/>
  <c r="S63" i="8"/>
  <c r="T63" i="8"/>
  <c r="V63" i="8"/>
  <c r="T67" i="7"/>
  <c r="S67" i="7"/>
  <c r="U67" i="7"/>
  <c r="V67" i="7"/>
  <c r="R55" i="14"/>
  <c r="I46" i="14"/>
  <c r="I42" i="3"/>
  <c r="R56" i="14"/>
  <c r="S56" i="14" s="1"/>
  <c r="J43" i="3"/>
  <c r="K21" i="3"/>
  <c r="M31" i="3"/>
  <c r="D33" i="3"/>
  <c r="L32" i="3"/>
  <c r="D44" i="3"/>
  <c r="N10" i="3"/>
  <c r="J22" i="3"/>
  <c r="P33" i="3"/>
  <c r="K9" i="3"/>
  <c r="D31" i="3"/>
  <c r="P11" i="3"/>
  <c r="O11" i="3"/>
  <c r="O44" i="3"/>
  <c r="M33" i="3"/>
  <c r="R11" i="3"/>
  <c r="L56" i="3" s="1"/>
  <c r="L56" i="14"/>
  <c r="M56" i="14" s="1"/>
  <c r="P44" i="3"/>
  <c r="L33" i="3"/>
  <c r="R22" i="3"/>
  <c r="N56" i="14"/>
  <c r="O56" i="14" s="1"/>
  <c r="J10" i="3"/>
  <c r="M10" i="3"/>
  <c r="Q21" i="3"/>
  <c r="M43" i="3"/>
  <c r="Q32" i="3"/>
  <c r="P43" i="3"/>
  <c r="N32" i="3"/>
  <c r="D32" i="3"/>
  <c r="D10" i="3"/>
  <c r="J21" i="3"/>
  <c r="Q33" i="3"/>
  <c r="N11" i="3"/>
  <c r="D11" i="3"/>
  <c r="M11" i="3"/>
  <c r="M44" i="3"/>
  <c r="K33" i="3"/>
  <c r="N44" i="3"/>
  <c r="J33" i="3"/>
  <c r="P10" i="3"/>
  <c r="K10" i="3"/>
  <c r="O21" i="3"/>
  <c r="O32" i="3"/>
  <c r="N43" i="3"/>
  <c r="D43" i="3"/>
  <c r="R10" i="3"/>
  <c r="L55" i="3" s="1"/>
  <c r="L55" i="14"/>
  <c r="L11" i="3"/>
  <c r="K11" i="3"/>
  <c r="K44" i="3"/>
  <c r="L44" i="3"/>
  <c r="Q10" i="3"/>
  <c r="M21" i="3"/>
  <c r="Q43" i="3"/>
  <c r="R21" i="3"/>
  <c r="N55" i="14"/>
  <c r="L43" i="3"/>
  <c r="R32" i="3"/>
  <c r="P55" i="14"/>
  <c r="Q22" i="3"/>
  <c r="J32" i="3"/>
  <c r="M32" i="3"/>
  <c r="J11" i="3"/>
  <c r="P22" i="3"/>
  <c r="Q11" i="3"/>
  <c r="D22" i="3"/>
  <c r="K22" i="3"/>
  <c r="Q44" i="3"/>
  <c r="O33" i="3"/>
  <c r="J44" i="3"/>
  <c r="N33" i="3"/>
  <c r="P21" i="3"/>
  <c r="D21" i="3"/>
  <c r="O43" i="3"/>
  <c r="K32" i="3"/>
  <c r="P32" i="3"/>
  <c r="D9" i="3"/>
  <c r="J9" i="3"/>
  <c r="L20" i="3"/>
  <c r="M9" i="3"/>
  <c r="Q20" i="3"/>
  <c r="I20" i="3"/>
  <c r="I24" i="14"/>
  <c r="O42" i="3"/>
  <c r="K31" i="3"/>
  <c r="P54" i="14"/>
  <c r="L42" i="3"/>
  <c r="P31" i="3"/>
  <c r="O31" i="3"/>
  <c r="P9" i="3"/>
  <c r="M42" i="3"/>
  <c r="Q31" i="3"/>
  <c r="I31" i="3"/>
  <c r="I35" i="14"/>
  <c r="J42" i="3"/>
  <c r="N31" i="3"/>
  <c r="N9" i="3"/>
  <c r="Q9" i="3"/>
  <c r="I9" i="3"/>
  <c r="I13" i="3" s="1"/>
  <c r="I13" i="14"/>
  <c r="K42" i="3"/>
  <c r="R20" i="3"/>
  <c r="P42" i="3"/>
  <c r="L9" i="3"/>
  <c r="P20" i="3"/>
  <c r="O9" i="3"/>
  <c r="D20" i="3"/>
  <c r="K20" i="3"/>
  <c r="L54" i="14"/>
  <c r="M54" i="14" s="1"/>
  <c r="D42" i="3"/>
  <c r="R54" i="14"/>
  <c r="H57" i="14"/>
  <c r="F57" i="14"/>
  <c r="I57" i="14"/>
  <c r="C114" i="3" s="1"/>
  <c r="C70" i="9"/>
  <c r="O66" i="9"/>
  <c r="D104" i="17" s="1"/>
  <c r="Q76" i="9"/>
  <c r="M67" i="7"/>
  <c r="L67" i="7"/>
  <c r="N67" i="7"/>
  <c r="K67" i="7"/>
  <c r="C120" i="8"/>
  <c r="E120" i="8"/>
  <c r="G120" i="8"/>
  <c r="C117" i="8"/>
  <c r="E117" i="8"/>
  <c r="G117" i="8"/>
  <c r="C114" i="8"/>
  <c r="E114" i="8"/>
  <c r="G114" i="8"/>
  <c r="C111" i="8"/>
  <c r="G111" i="8"/>
  <c r="C136" i="8"/>
  <c r="E136" i="8"/>
  <c r="G136" i="8"/>
  <c r="B136" i="8"/>
  <c r="C133" i="8"/>
  <c r="E133" i="8"/>
  <c r="G133" i="8"/>
  <c r="D130" i="8"/>
  <c r="F130" i="8"/>
  <c r="B130" i="8"/>
  <c r="D127" i="8"/>
  <c r="F127" i="8"/>
  <c r="B127" i="8"/>
  <c r="D120" i="8"/>
  <c r="F120" i="8"/>
  <c r="B120" i="8"/>
  <c r="D117" i="8"/>
  <c r="F117" i="8"/>
  <c r="B117" i="8"/>
  <c r="F114" i="8"/>
  <c r="B114" i="8"/>
  <c r="D111" i="8"/>
  <c r="F111" i="8"/>
  <c r="B111" i="8"/>
  <c r="D136" i="8"/>
  <c r="F136" i="8"/>
  <c r="D133" i="8"/>
  <c r="F133" i="8"/>
  <c r="C130" i="8"/>
  <c r="E130" i="8"/>
  <c r="G130" i="8"/>
  <c r="C127" i="8"/>
  <c r="E127" i="8"/>
  <c r="G127" i="8"/>
  <c r="Q83" i="9"/>
  <c r="Q87" i="9"/>
  <c r="Q65" i="9"/>
  <c r="Q73" i="9"/>
  <c r="Q81" i="9"/>
  <c r="Q85" i="9"/>
  <c r="G62" i="9"/>
  <c r="N66" i="9"/>
  <c r="Q63" i="9"/>
  <c r="B62" i="9"/>
  <c r="I62" i="9"/>
  <c r="L66" i="9"/>
  <c r="H66" i="9"/>
  <c r="D66" i="9"/>
  <c r="N70" i="9"/>
  <c r="J70" i="9"/>
  <c r="F70" i="9"/>
  <c r="B74" i="9"/>
  <c r="Q75" i="9"/>
  <c r="K74" i="9"/>
  <c r="G74" i="9"/>
  <c r="C74" i="9"/>
  <c r="O74" i="9"/>
  <c r="D106" i="17" s="1"/>
  <c r="L62" i="9"/>
  <c r="H62" i="9"/>
  <c r="D62" i="9"/>
  <c r="M66" i="9"/>
  <c r="I66" i="9"/>
  <c r="E66" i="9"/>
  <c r="M70" i="9"/>
  <c r="I70" i="9"/>
  <c r="E70" i="9"/>
  <c r="N74" i="9"/>
  <c r="J74" i="9"/>
  <c r="F74" i="9"/>
  <c r="O62" i="9"/>
  <c r="D103" i="17" s="1"/>
  <c r="Q82" i="9"/>
  <c r="Q86" i="9"/>
  <c r="Q64" i="9"/>
  <c r="Q68" i="9"/>
  <c r="Q72" i="9"/>
  <c r="D119" i="8"/>
  <c r="F119" i="8"/>
  <c r="B119" i="8"/>
  <c r="D116" i="8"/>
  <c r="F116" i="8"/>
  <c r="B116" i="8"/>
  <c r="F113" i="8"/>
  <c r="B113" i="8"/>
  <c r="D110" i="8"/>
  <c r="F110" i="8"/>
  <c r="B110" i="8"/>
  <c r="D135" i="8"/>
  <c r="F135" i="8"/>
  <c r="D132" i="8"/>
  <c r="F132" i="8"/>
  <c r="C129" i="8"/>
  <c r="E129" i="8"/>
  <c r="G129" i="8"/>
  <c r="C126" i="8"/>
  <c r="E126" i="8"/>
  <c r="G126" i="8"/>
  <c r="C119" i="8"/>
  <c r="E119" i="8"/>
  <c r="G119" i="8"/>
  <c r="C116" i="8"/>
  <c r="E116" i="8"/>
  <c r="G116" i="8"/>
  <c r="C113" i="8"/>
  <c r="E113" i="8"/>
  <c r="G113" i="8"/>
  <c r="C110" i="8"/>
  <c r="E110" i="8"/>
  <c r="G110" i="8"/>
  <c r="C135" i="8"/>
  <c r="E135" i="8"/>
  <c r="G135" i="8"/>
  <c r="B135" i="8"/>
  <c r="C132" i="8"/>
  <c r="E132" i="8"/>
  <c r="G132" i="8"/>
  <c r="B132" i="8"/>
  <c r="D129" i="8"/>
  <c r="F129" i="8"/>
  <c r="B129" i="8"/>
  <c r="F126" i="8"/>
  <c r="B126" i="8"/>
  <c r="Q69" i="9"/>
  <c r="Q77" i="9"/>
  <c r="K62" i="9"/>
  <c r="C62" i="9"/>
  <c r="M62" i="9"/>
  <c r="E62" i="9"/>
  <c r="J66" i="9"/>
  <c r="F66" i="9"/>
  <c r="B70" i="9"/>
  <c r="Q71" i="9"/>
  <c r="L70" i="9"/>
  <c r="H70" i="9"/>
  <c r="D70" i="9"/>
  <c r="M74" i="9"/>
  <c r="I74" i="9"/>
  <c r="E74" i="9"/>
  <c r="N62" i="9"/>
  <c r="J62" i="9"/>
  <c r="F62" i="9"/>
  <c r="B66" i="9"/>
  <c r="Q67" i="9"/>
  <c r="K66" i="9"/>
  <c r="C66" i="9"/>
  <c r="K70" i="9"/>
  <c r="G70" i="9"/>
  <c r="L74" i="9"/>
  <c r="H74" i="9"/>
  <c r="D74" i="9"/>
  <c r="O70" i="9"/>
  <c r="D105" i="17" s="1"/>
  <c r="G66" i="9"/>
  <c r="M63" i="8"/>
  <c r="K63" i="8"/>
  <c r="N63" i="8"/>
  <c r="L63" i="8"/>
  <c r="H84" i="9"/>
  <c r="J84" i="9"/>
  <c r="E84" i="9"/>
  <c r="I84" i="9"/>
  <c r="L21" i="3"/>
  <c r="K84" i="9"/>
  <c r="C84" i="9"/>
  <c r="M54" i="3"/>
  <c r="E80" i="9"/>
  <c r="M84" i="9"/>
  <c r="J80" i="9"/>
  <c r="B80" i="9"/>
  <c r="L80" i="9"/>
  <c r="H80" i="9"/>
  <c r="D80" i="9"/>
  <c r="O80" i="9"/>
  <c r="D103" i="11" s="1"/>
  <c r="K80" i="9"/>
  <c r="G80" i="9"/>
  <c r="C80" i="9"/>
  <c r="N80" i="9"/>
  <c r="F80" i="9"/>
  <c r="M80" i="9"/>
  <c r="I80" i="9"/>
  <c r="O92" i="9"/>
  <c r="D106" i="11" s="1"/>
  <c r="N42" i="3"/>
  <c r="K92" i="9"/>
  <c r="G92" i="9"/>
  <c r="C92" i="9"/>
  <c r="L92" i="9"/>
  <c r="H92" i="9"/>
  <c r="D92" i="9"/>
  <c r="M92" i="9"/>
  <c r="I92" i="9"/>
  <c r="E92" i="9"/>
  <c r="N92" i="9"/>
  <c r="J92" i="9"/>
  <c r="F92" i="9"/>
  <c r="B92" i="9"/>
  <c r="O88" i="9"/>
  <c r="D105" i="11" s="1"/>
  <c r="K88" i="9"/>
  <c r="G88" i="9"/>
  <c r="C88" i="9"/>
  <c r="N88" i="9"/>
  <c r="J88" i="9"/>
  <c r="F88" i="9"/>
  <c r="M88" i="9"/>
  <c r="I88" i="9"/>
  <c r="E88" i="9"/>
  <c r="L88" i="9"/>
  <c r="H88" i="9"/>
  <c r="D88" i="9"/>
  <c r="B88" i="9"/>
  <c r="O84" i="9"/>
  <c r="D104" i="11" s="1"/>
  <c r="N84" i="9"/>
  <c r="F84" i="9"/>
  <c r="L84" i="9"/>
  <c r="D84" i="9"/>
  <c r="B84" i="9"/>
  <c r="J20" i="3"/>
  <c r="G84" i="9"/>
  <c r="B133" i="8"/>
  <c r="R33" i="3"/>
  <c r="R44" i="3"/>
  <c r="R43" i="3"/>
  <c r="R42" i="3"/>
  <c r="R31" i="3"/>
  <c r="C47" i="8"/>
  <c r="C67" i="8"/>
  <c r="C51" i="8"/>
  <c r="C66" i="8"/>
  <c r="C50" i="8"/>
  <c r="C65" i="8"/>
  <c r="C49" i="8"/>
  <c r="C64" i="8"/>
  <c r="C62" i="8"/>
  <c r="C48" i="8"/>
  <c r="C46" i="8"/>
  <c r="B65" i="7"/>
  <c r="Q19" i="1"/>
  <c r="E106" i="17" l="1"/>
  <c r="E104" i="17"/>
  <c r="E105" i="17"/>
  <c r="I46" i="3"/>
  <c r="I24" i="3"/>
  <c r="I35" i="3"/>
  <c r="M56" i="3"/>
  <c r="O55" i="14"/>
  <c r="C137" i="3"/>
  <c r="M55" i="3"/>
  <c r="D136" i="3"/>
  <c r="Q55" i="14"/>
  <c r="C138" i="3"/>
  <c r="M55" i="14"/>
  <c r="C136" i="3"/>
  <c r="S55" i="14"/>
  <c r="C139" i="3"/>
  <c r="S49" i="8"/>
  <c r="U49" i="8"/>
  <c r="V49" i="8"/>
  <c r="T49" i="8"/>
  <c r="U67" i="8"/>
  <c r="S67" i="8"/>
  <c r="T67" i="8"/>
  <c r="V67" i="8"/>
  <c r="U50" i="8"/>
  <c r="V50" i="8"/>
  <c r="S50" i="8"/>
  <c r="T50" i="8"/>
  <c r="U47" i="8"/>
  <c r="V47" i="8"/>
  <c r="S47" i="8"/>
  <c r="T47" i="8"/>
  <c r="V46" i="8"/>
  <c r="S46" i="8"/>
  <c r="T46" i="8"/>
  <c r="U46" i="8"/>
  <c r="U51" i="8"/>
  <c r="V51" i="8"/>
  <c r="S51" i="8"/>
  <c r="T51" i="8"/>
  <c r="T48" i="8"/>
  <c r="U48" i="8"/>
  <c r="V48" i="8"/>
  <c r="S48" i="8"/>
  <c r="S65" i="8"/>
  <c r="U65" i="8"/>
  <c r="V65" i="8"/>
  <c r="T65" i="8"/>
  <c r="T62" i="8"/>
  <c r="V62" i="8"/>
  <c r="S62" i="8"/>
  <c r="U62" i="8"/>
  <c r="V64" i="8"/>
  <c r="T64" i="8"/>
  <c r="U64" i="8"/>
  <c r="S64" i="8"/>
  <c r="V66" i="8"/>
  <c r="T66" i="8"/>
  <c r="U66" i="8"/>
  <c r="S66" i="8"/>
  <c r="G112" i="8"/>
  <c r="O142" i="8" s="1"/>
  <c r="O19" i="14" s="1"/>
  <c r="O24" i="14" s="1"/>
  <c r="E115" i="8"/>
  <c r="M143" i="8" s="1"/>
  <c r="M30" i="14" s="1"/>
  <c r="M35" i="14" s="1"/>
  <c r="C118" i="8"/>
  <c r="K144" i="8" s="1"/>
  <c r="K41" i="14" s="1"/>
  <c r="K46" i="14" s="1"/>
  <c r="E109" i="8"/>
  <c r="M141" i="8" s="1"/>
  <c r="M8" i="14" s="1"/>
  <c r="M13" i="14" s="1"/>
  <c r="C112" i="8"/>
  <c r="K142" i="8" s="1"/>
  <c r="K19" i="14" s="1"/>
  <c r="K24" i="14" s="1"/>
  <c r="G118" i="8"/>
  <c r="O144" i="8" s="1"/>
  <c r="O41" i="14" s="1"/>
  <c r="O46" i="14" s="1"/>
  <c r="C109" i="8"/>
  <c r="K141" i="8" s="1"/>
  <c r="K8" i="14" s="1"/>
  <c r="K13" i="14" s="1"/>
  <c r="G115" i="8"/>
  <c r="O143" i="8" s="1"/>
  <c r="O30" i="14" s="1"/>
  <c r="O35" i="14" s="1"/>
  <c r="E118" i="8"/>
  <c r="M144" i="8" s="1"/>
  <c r="M41" i="14" s="1"/>
  <c r="M46" i="14" s="1"/>
  <c r="G109" i="8"/>
  <c r="O141" i="8" s="1"/>
  <c r="O8" i="14" s="1"/>
  <c r="O13" i="14" s="1"/>
  <c r="E112" i="8"/>
  <c r="M142" i="8" s="1"/>
  <c r="M19" i="14" s="1"/>
  <c r="M24" i="14" s="1"/>
  <c r="C115" i="8"/>
  <c r="K143" i="8" s="1"/>
  <c r="K30" i="14" s="1"/>
  <c r="K35" i="14" s="1"/>
  <c r="T22" i="3"/>
  <c r="T10" i="3"/>
  <c r="C55" i="3" s="1"/>
  <c r="T31" i="14"/>
  <c r="G54" i="14" s="1"/>
  <c r="T33" i="14"/>
  <c r="G56" i="14" s="1"/>
  <c r="H56" i="14" s="1"/>
  <c r="Q66" i="9"/>
  <c r="D96" i="17" s="1"/>
  <c r="T10" i="14"/>
  <c r="C55" i="14" s="1"/>
  <c r="T11" i="3"/>
  <c r="C56" i="3" s="1"/>
  <c r="T44" i="14"/>
  <c r="I56" i="14" s="1"/>
  <c r="J56" i="14" s="1"/>
  <c r="D13" i="3"/>
  <c r="T21" i="14"/>
  <c r="E55" i="14" s="1"/>
  <c r="T32" i="14"/>
  <c r="G55" i="14" s="1"/>
  <c r="D35" i="14"/>
  <c r="T43" i="14"/>
  <c r="I55" i="14" s="1"/>
  <c r="T11" i="14"/>
  <c r="C56" i="14" s="1"/>
  <c r="D56" i="14" s="1"/>
  <c r="T22" i="14"/>
  <c r="E56" i="14" s="1"/>
  <c r="F56" i="14" s="1"/>
  <c r="T9" i="3"/>
  <c r="T20" i="14"/>
  <c r="D24" i="14"/>
  <c r="S54" i="14"/>
  <c r="N54" i="14"/>
  <c r="T42" i="14"/>
  <c r="D46" i="14"/>
  <c r="T9" i="14"/>
  <c r="D13" i="14"/>
  <c r="Q54" i="14"/>
  <c r="J57" i="14"/>
  <c r="D131" i="8"/>
  <c r="F109" i="8"/>
  <c r="N141" i="8" s="1"/>
  <c r="N8" i="14" s="1"/>
  <c r="N13" i="14" s="1"/>
  <c r="B112" i="8"/>
  <c r="J142" i="8" s="1"/>
  <c r="J19" i="14" s="1"/>
  <c r="J24" i="14" s="1"/>
  <c r="D112" i="8"/>
  <c r="L142" i="8" s="1"/>
  <c r="L19" i="14" s="1"/>
  <c r="L24" i="14" s="1"/>
  <c r="F115" i="8"/>
  <c r="N143" i="8" s="1"/>
  <c r="N30" i="14" s="1"/>
  <c r="N35" i="14" s="1"/>
  <c r="B118" i="8"/>
  <c r="J144" i="8" s="1"/>
  <c r="J41" i="14" s="1"/>
  <c r="J46" i="14" s="1"/>
  <c r="D118" i="8"/>
  <c r="L144" i="8" s="1"/>
  <c r="L41" i="14" s="1"/>
  <c r="L46" i="14" s="1"/>
  <c r="Q70" i="9"/>
  <c r="D97" i="17" s="1"/>
  <c r="B109" i="8"/>
  <c r="J141" i="8" s="1"/>
  <c r="J8" i="14" s="1"/>
  <c r="J13" i="14" s="1"/>
  <c r="D109" i="8"/>
  <c r="L141" i="8" s="1"/>
  <c r="L8" i="14" s="1"/>
  <c r="L13" i="14" s="1"/>
  <c r="F112" i="8"/>
  <c r="N142" i="8" s="1"/>
  <c r="N19" i="14" s="1"/>
  <c r="N24" i="14" s="1"/>
  <c r="B115" i="8"/>
  <c r="J143" i="8" s="1"/>
  <c r="J30" i="14" s="1"/>
  <c r="J35" i="14" s="1"/>
  <c r="D115" i="8"/>
  <c r="L143" i="8" s="1"/>
  <c r="L30" i="14" s="1"/>
  <c r="L35" i="14" s="1"/>
  <c r="F118" i="8"/>
  <c r="N144" i="8" s="1"/>
  <c r="N41" i="14" s="1"/>
  <c r="N46" i="14" s="1"/>
  <c r="Q74" i="9"/>
  <c r="D98" i="17" s="1"/>
  <c r="Q62" i="9"/>
  <c r="D95" i="17" s="1"/>
  <c r="L151" i="8"/>
  <c r="L30" i="3" s="1"/>
  <c r="M48" i="8"/>
  <c r="K48" i="8"/>
  <c r="N48" i="8"/>
  <c r="L48" i="8"/>
  <c r="M64" i="8"/>
  <c r="K64" i="8"/>
  <c r="N64" i="8"/>
  <c r="L64" i="8"/>
  <c r="M66" i="8"/>
  <c r="K66" i="8"/>
  <c r="N66" i="8"/>
  <c r="L66" i="8"/>
  <c r="M67" i="8"/>
  <c r="K67" i="8"/>
  <c r="N67" i="8"/>
  <c r="L67" i="8"/>
  <c r="M46" i="8"/>
  <c r="K46" i="8"/>
  <c r="L46" i="8"/>
  <c r="N46" i="8"/>
  <c r="M62" i="8"/>
  <c r="K62" i="8"/>
  <c r="N62" i="8"/>
  <c r="L62" i="8"/>
  <c r="L49" i="8"/>
  <c r="N49" i="8"/>
  <c r="K49" i="8"/>
  <c r="M49" i="8"/>
  <c r="M50" i="8"/>
  <c r="K50" i="8"/>
  <c r="L50" i="8"/>
  <c r="N50" i="8"/>
  <c r="L51" i="8"/>
  <c r="N51" i="8"/>
  <c r="M51" i="8"/>
  <c r="K51" i="8"/>
  <c r="L47" i="8"/>
  <c r="N47" i="8"/>
  <c r="M47" i="8"/>
  <c r="K47" i="8"/>
  <c r="M65" i="8"/>
  <c r="K65" i="8"/>
  <c r="N65" i="8"/>
  <c r="L65" i="8"/>
  <c r="B128" i="8"/>
  <c r="G131" i="8"/>
  <c r="E134" i="8"/>
  <c r="C125" i="8"/>
  <c r="F131" i="8"/>
  <c r="E106" i="11"/>
  <c r="F106" i="11" s="1"/>
  <c r="B125" i="8"/>
  <c r="F128" i="8"/>
  <c r="F125" i="8"/>
  <c r="G128" i="8"/>
  <c r="E128" i="8"/>
  <c r="E131" i="8"/>
  <c r="C131" i="8"/>
  <c r="B131" i="8"/>
  <c r="C128" i="8"/>
  <c r="D125" i="8"/>
  <c r="E125" i="8"/>
  <c r="D134" i="8"/>
  <c r="F134" i="8"/>
  <c r="C134" i="8"/>
  <c r="G125" i="8"/>
  <c r="D128" i="8"/>
  <c r="G134" i="8"/>
  <c r="B134" i="8"/>
  <c r="E104" i="11"/>
  <c r="F104" i="11" s="1"/>
  <c r="G104" i="11" s="1"/>
  <c r="E105" i="11"/>
  <c r="F105" i="11" s="1"/>
  <c r="G105" i="11" s="1"/>
  <c r="Q80" i="9"/>
  <c r="D95" i="11" s="1"/>
  <c r="T6" i="11" s="1"/>
  <c r="L35" i="3"/>
  <c r="Q89" i="9"/>
  <c r="Q93" i="9"/>
  <c r="Q95" i="9"/>
  <c r="Q91" i="9"/>
  <c r="C55" i="8"/>
  <c r="C58" i="8"/>
  <c r="C57" i="8"/>
  <c r="C54" i="8"/>
  <c r="C56" i="8"/>
  <c r="C59" i="8"/>
  <c r="C54" i="3" l="1"/>
  <c r="U10" i="3"/>
  <c r="E98" i="17"/>
  <c r="E96" i="17"/>
  <c r="E97" i="17"/>
  <c r="F105" i="17"/>
  <c r="G105" i="17" s="1"/>
  <c r="H105" i="17" s="1"/>
  <c r="J15" i="17" s="1"/>
  <c r="F104" i="17"/>
  <c r="G104" i="17" s="1"/>
  <c r="H104" i="17" s="1"/>
  <c r="J14" i="17" s="1"/>
  <c r="F106" i="17"/>
  <c r="G106" i="17" s="1"/>
  <c r="H106" i="17" s="1"/>
  <c r="J16" i="17" s="1"/>
  <c r="D54" i="3"/>
  <c r="D56" i="3"/>
  <c r="F55" i="14"/>
  <c r="C105" i="3"/>
  <c r="D55" i="14"/>
  <c r="C104" i="3"/>
  <c r="D55" i="3"/>
  <c r="D104" i="3"/>
  <c r="J55" i="14"/>
  <c r="C107" i="3"/>
  <c r="H55" i="14"/>
  <c r="C106" i="3"/>
  <c r="S56" i="8"/>
  <c r="U56" i="8"/>
  <c r="V56" i="8"/>
  <c r="T56" i="8"/>
  <c r="U55" i="8"/>
  <c r="V55" i="8"/>
  <c r="S55" i="8"/>
  <c r="T55" i="8"/>
  <c r="T54" i="8"/>
  <c r="V54" i="8"/>
  <c r="S54" i="8"/>
  <c r="U54" i="8"/>
  <c r="U57" i="8"/>
  <c r="V57" i="8"/>
  <c r="S57" i="8"/>
  <c r="T57" i="8"/>
  <c r="U59" i="8"/>
  <c r="V59" i="8"/>
  <c r="S59" i="8"/>
  <c r="T59" i="8"/>
  <c r="U58" i="8"/>
  <c r="V58" i="8"/>
  <c r="S58" i="8"/>
  <c r="T58" i="8"/>
  <c r="C54" i="14"/>
  <c r="D54" i="14" s="1"/>
  <c r="O54" i="14"/>
  <c r="H54" i="14"/>
  <c r="I54" i="14"/>
  <c r="E54" i="14"/>
  <c r="O41" i="3"/>
  <c r="O46" i="3" s="1"/>
  <c r="O152" i="8"/>
  <c r="L150" i="8"/>
  <c r="L19" i="3" s="1"/>
  <c r="L24" i="3" s="1"/>
  <c r="K41" i="3"/>
  <c r="K46" i="3" s="1"/>
  <c r="K152" i="8"/>
  <c r="L41" i="3"/>
  <c r="L46" i="3" s="1"/>
  <c r="L152" i="8"/>
  <c r="L149" i="8"/>
  <c r="L8" i="3" s="1"/>
  <c r="L13" i="3" s="1"/>
  <c r="J151" i="8"/>
  <c r="J30" i="3" s="1"/>
  <c r="J35" i="3" s="1"/>
  <c r="M151" i="8"/>
  <c r="M30" i="3" s="1"/>
  <c r="O150" i="8"/>
  <c r="O19" i="3" s="1"/>
  <c r="N150" i="8"/>
  <c r="N19" i="3" s="1"/>
  <c r="K149" i="8"/>
  <c r="K8" i="3" s="1"/>
  <c r="K13" i="3" s="1"/>
  <c r="O151" i="8"/>
  <c r="O30" i="3" s="1"/>
  <c r="J41" i="3"/>
  <c r="J46" i="3" s="1"/>
  <c r="J152" i="8"/>
  <c r="O149" i="8"/>
  <c r="O8" i="3" s="1"/>
  <c r="O13" i="3" s="1"/>
  <c r="N41" i="3"/>
  <c r="N46" i="3" s="1"/>
  <c r="N152" i="8"/>
  <c r="M149" i="8"/>
  <c r="M8" i="3" s="1"/>
  <c r="M13" i="3" s="1"/>
  <c r="K150" i="8"/>
  <c r="K19" i="3" s="1"/>
  <c r="K24" i="3" s="1"/>
  <c r="K151" i="8"/>
  <c r="K30" i="3" s="1"/>
  <c r="K35" i="3" s="1"/>
  <c r="M150" i="8"/>
  <c r="M19" i="3" s="1"/>
  <c r="N149" i="8"/>
  <c r="N8" i="3" s="1"/>
  <c r="N13" i="3" s="1"/>
  <c r="J149" i="8"/>
  <c r="J8" i="3" s="1"/>
  <c r="J13" i="3" s="1"/>
  <c r="N151" i="8"/>
  <c r="N30" i="3" s="1"/>
  <c r="M41" i="3"/>
  <c r="M46" i="3" s="1"/>
  <c r="M152" i="8"/>
  <c r="J150" i="8"/>
  <c r="J19" i="3" s="1"/>
  <c r="J24" i="3" s="1"/>
  <c r="M56" i="8"/>
  <c r="K56" i="8"/>
  <c r="N56" i="8"/>
  <c r="L56" i="8"/>
  <c r="M55" i="8"/>
  <c r="K55" i="8"/>
  <c r="N55" i="8"/>
  <c r="L55" i="8"/>
  <c r="M59" i="8"/>
  <c r="K59" i="8"/>
  <c r="N59" i="8"/>
  <c r="L59" i="8"/>
  <c r="M54" i="8"/>
  <c r="K54" i="8"/>
  <c r="N54" i="8"/>
  <c r="L54" i="8"/>
  <c r="M58" i="8"/>
  <c r="K58" i="8"/>
  <c r="N58" i="8"/>
  <c r="L58" i="8"/>
  <c r="S61" i="8"/>
  <c r="S45" i="8"/>
  <c r="M57" i="8"/>
  <c r="K57" i="8"/>
  <c r="N57" i="8"/>
  <c r="L57" i="8"/>
  <c r="T61" i="8"/>
  <c r="V61" i="8"/>
  <c r="U61" i="8"/>
  <c r="V45" i="8"/>
  <c r="T45" i="8"/>
  <c r="U45" i="8"/>
  <c r="G106" i="11"/>
  <c r="H106" i="11" s="1"/>
  <c r="J16" i="11" s="1"/>
  <c r="R16" i="11" s="1"/>
  <c r="H35" i="7"/>
  <c r="H31" i="7"/>
  <c r="L31" i="7"/>
  <c r="L35" i="7"/>
  <c r="I35" i="7"/>
  <c r="I31" i="7"/>
  <c r="J31" i="7"/>
  <c r="J35" i="7"/>
  <c r="H104" i="11"/>
  <c r="J14" i="11" s="1"/>
  <c r="R14" i="11" s="1"/>
  <c r="H105" i="11"/>
  <c r="J15" i="11" s="1"/>
  <c r="R15" i="11" s="1"/>
  <c r="L61" i="8"/>
  <c r="L45" i="8"/>
  <c r="M45" i="8"/>
  <c r="K45" i="8"/>
  <c r="N45" i="8"/>
  <c r="K61" i="8"/>
  <c r="N61" i="8"/>
  <c r="M61" i="8"/>
  <c r="R15" i="17" l="1"/>
  <c r="R16" i="17"/>
  <c r="R14" i="17"/>
  <c r="I8" i="17"/>
  <c r="F97" i="17"/>
  <c r="G97" i="17" s="1"/>
  <c r="H97" i="17" s="1"/>
  <c r="I15" i="17" s="1"/>
  <c r="F96" i="17"/>
  <c r="G96" i="17" s="1"/>
  <c r="H96" i="17" s="1"/>
  <c r="I14" i="17" s="1"/>
  <c r="I7" i="17"/>
  <c r="F98" i="17"/>
  <c r="G98" i="17" s="1"/>
  <c r="H98" i="17" s="1"/>
  <c r="I16" i="17" s="1"/>
  <c r="I9" i="17"/>
  <c r="J54" i="14"/>
  <c r="F54" i="14"/>
  <c r="K35" i="7"/>
  <c r="K31" i="7"/>
  <c r="S53" i="8"/>
  <c r="S42" i="8" s="1"/>
  <c r="T53" i="8"/>
  <c r="T42" i="8" s="1"/>
  <c r="V53" i="8"/>
  <c r="V42" i="8" s="1"/>
  <c r="U53" i="8"/>
  <c r="U42" i="8" s="1"/>
  <c r="M12" i="7"/>
  <c r="L53" i="8"/>
  <c r="L42" i="8" s="1"/>
  <c r="D86" i="17" s="1"/>
  <c r="N53" i="8"/>
  <c r="N42" i="8" s="1"/>
  <c r="D88" i="17" s="1"/>
  <c r="K53" i="8"/>
  <c r="K42" i="8" s="1"/>
  <c r="M53" i="8"/>
  <c r="M42" i="8" s="1"/>
  <c r="D87" i="17" s="1"/>
  <c r="R141" i="8" l="1"/>
  <c r="R8" i="14" s="1"/>
  <c r="L53" i="14" s="1"/>
  <c r="D85" i="17"/>
  <c r="Q15" i="17"/>
  <c r="I22" i="17"/>
  <c r="Q16" i="17"/>
  <c r="I23" i="17"/>
  <c r="I21" i="17"/>
  <c r="Q14" i="17"/>
  <c r="R151" i="8"/>
  <c r="R30" i="3" s="1"/>
  <c r="P53" i="3" s="1"/>
  <c r="D87" i="11"/>
  <c r="R152" i="8"/>
  <c r="R41" i="3" s="1"/>
  <c r="D88" i="11"/>
  <c r="R150" i="8"/>
  <c r="R19" i="3" s="1"/>
  <c r="D86" i="11"/>
  <c r="R149" i="8"/>
  <c r="R8" i="3" s="1"/>
  <c r="D85" i="11"/>
  <c r="M35" i="7"/>
  <c r="H46" i="7"/>
  <c r="D37" i="17" s="1"/>
  <c r="E37" i="17" s="1"/>
  <c r="M31" i="7"/>
  <c r="M45" i="7" s="1"/>
  <c r="H47" i="7"/>
  <c r="D40" i="17" s="1"/>
  <c r="E40" i="17" s="1"/>
  <c r="H45" i="7"/>
  <c r="D34" i="17" s="1"/>
  <c r="E34" i="17" s="1"/>
  <c r="R144" i="8"/>
  <c r="L53" i="3"/>
  <c r="N53" i="3"/>
  <c r="R142" i="8"/>
  <c r="R19" i="14" s="1"/>
  <c r="N53" i="14" s="1"/>
  <c r="R143" i="8"/>
  <c r="R30" i="14" s="1"/>
  <c r="P53" i="14" s="1"/>
  <c r="E70" i="11"/>
  <c r="G7" i="11" s="1"/>
  <c r="H34" i="7"/>
  <c r="H30" i="7"/>
  <c r="I30" i="7"/>
  <c r="I32" i="7" s="1"/>
  <c r="I34" i="7"/>
  <c r="I36" i="7" s="1"/>
  <c r="J30" i="7"/>
  <c r="J32" i="7" s="1"/>
  <c r="J34" i="7"/>
  <c r="J36" i="7" s="1"/>
  <c r="L34" i="7"/>
  <c r="L30" i="7"/>
  <c r="L32" i="7" s="1"/>
  <c r="J12" i="7"/>
  <c r="L12" i="7"/>
  <c r="H12" i="7"/>
  <c r="I12" i="7"/>
  <c r="F37" i="17" l="1"/>
  <c r="H37" i="17"/>
  <c r="H34" i="17"/>
  <c r="F34" i="17"/>
  <c r="E86" i="17"/>
  <c r="E88" i="17"/>
  <c r="F40" i="17"/>
  <c r="H40" i="17"/>
  <c r="E87" i="17"/>
  <c r="D34" i="11"/>
  <c r="O53" i="14"/>
  <c r="C129" i="3"/>
  <c r="M53" i="14"/>
  <c r="C128" i="3"/>
  <c r="Q53" i="14"/>
  <c r="C130" i="3"/>
  <c r="Q53" i="3"/>
  <c r="D130" i="3"/>
  <c r="O53" i="3"/>
  <c r="D129" i="3"/>
  <c r="M53" i="3"/>
  <c r="D128" i="3"/>
  <c r="R53" i="3"/>
  <c r="R41" i="14"/>
  <c r="R53" i="14" s="1"/>
  <c r="L36" i="7"/>
  <c r="M46" i="7"/>
  <c r="M47" i="7"/>
  <c r="H36" i="7"/>
  <c r="K36" i="7" s="1"/>
  <c r="K34" i="7"/>
  <c r="H32" i="7"/>
  <c r="K32" i="7" s="1"/>
  <c r="K30" i="7"/>
  <c r="H41" i="7" s="1"/>
  <c r="D33" i="17" s="1"/>
  <c r="E87" i="11"/>
  <c r="H8" i="11" s="1"/>
  <c r="E86" i="11"/>
  <c r="H7" i="11" s="1"/>
  <c r="E88" i="11"/>
  <c r="H9" i="11" s="1"/>
  <c r="E71" i="11"/>
  <c r="G8" i="11" s="1"/>
  <c r="E72" i="11"/>
  <c r="G9" i="11" s="1"/>
  <c r="H70" i="11"/>
  <c r="G14" i="11" s="1"/>
  <c r="F70" i="11"/>
  <c r="D35" i="17" l="1"/>
  <c r="E35" i="17" s="1"/>
  <c r="E33" i="17"/>
  <c r="H9" i="17"/>
  <c r="J9" i="17"/>
  <c r="J23" i="17" s="1"/>
  <c r="F88" i="17"/>
  <c r="G88" i="17" s="1"/>
  <c r="H88" i="17" s="1"/>
  <c r="H16" i="17" s="1"/>
  <c r="J8" i="17"/>
  <c r="J22" i="17" s="1"/>
  <c r="F87" i="17"/>
  <c r="G87" i="17" s="1"/>
  <c r="H87" i="17" s="1"/>
  <c r="H15" i="17" s="1"/>
  <c r="H8" i="17"/>
  <c r="H7" i="17"/>
  <c r="F86" i="17"/>
  <c r="G86" i="17" s="1"/>
  <c r="H86" i="17" s="1"/>
  <c r="H14" i="17" s="1"/>
  <c r="J7" i="17"/>
  <c r="J21" i="17" s="1"/>
  <c r="D40" i="11"/>
  <c r="D37" i="11"/>
  <c r="S53" i="14"/>
  <c r="C131" i="3"/>
  <c r="S53" i="3"/>
  <c r="D131" i="3"/>
  <c r="J8" i="11"/>
  <c r="J22" i="11" s="1"/>
  <c r="M30" i="7"/>
  <c r="M34" i="7"/>
  <c r="H43" i="7"/>
  <c r="D39" i="17" s="1"/>
  <c r="H42" i="7"/>
  <c r="D36" i="17" s="1"/>
  <c r="F87" i="11"/>
  <c r="G87" i="11" s="1"/>
  <c r="H87" i="11" s="1"/>
  <c r="H15" i="11" s="1"/>
  <c r="H22" i="11" s="1"/>
  <c r="J7" i="11"/>
  <c r="J21" i="11" s="1"/>
  <c r="J9" i="11"/>
  <c r="J23" i="11" s="1"/>
  <c r="F86" i="11"/>
  <c r="G86" i="11" s="1"/>
  <c r="H86" i="11" s="1"/>
  <c r="H14" i="11" s="1"/>
  <c r="H21" i="11" s="1"/>
  <c r="F88" i="11"/>
  <c r="F72" i="11"/>
  <c r="F71" i="11"/>
  <c r="H21" i="17" l="1"/>
  <c r="H23" i="17"/>
  <c r="D38" i="17"/>
  <c r="E38" i="17" s="1"/>
  <c r="F38" i="17" s="1"/>
  <c r="E36" i="17"/>
  <c r="H22" i="17"/>
  <c r="D41" i="17"/>
  <c r="E41" i="17" s="1"/>
  <c r="F41" i="17" s="1"/>
  <c r="E39" i="17"/>
  <c r="F33" i="17"/>
  <c r="H33" i="17"/>
  <c r="F35" i="17"/>
  <c r="H35" i="17"/>
  <c r="H51" i="7"/>
  <c r="H49" i="7"/>
  <c r="H50" i="7"/>
  <c r="M36" i="7"/>
  <c r="M42" i="7"/>
  <c r="M43" i="7"/>
  <c r="M41" i="7"/>
  <c r="M32" i="7"/>
  <c r="G88" i="11"/>
  <c r="H88" i="11" s="1"/>
  <c r="H16" i="11" s="1"/>
  <c r="H23" i="11" s="1"/>
  <c r="H36" i="17" l="1"/>
  <c r="H38" i="17" s="1"/>
  <c r="D15" i="17" s="1"/>
  <c r="D8" i="17"/>
  <c r="F36" i="17"/>
  <c r="F39" i="17"/>
  <c r="D9" i="17"/>
  <c r="H39" i="17"/>
  <c r="H41" i="17" s="1"/>
  <c r="D16" i="17" s="1"/>
  <c r="D36" i="11"/>
  <c r="E36" i="11" s="1"/>
  <c r="D33" i="11"/>
  <c r="D35" i="11" s="1"/>
  <c r="E35" i="11" s="1"/>
  <c r="D39" i="11"/>
  <c r="D41" i="11" s="1"/>
  <c r="E41" i="11" s="1"/>
  <c r="E40" i="11"/>
  <c r="F40" i="11" s="1"/>
  <c r="M49" i="7"/>
  <c r="M50" i="7"/>
  <c r="M51" i="7"/>
  <c r="E34" i="11"/>
  <c r="E37" i="11"/>
  <c r="C75" i="7"/>
  <c r="F41" i="11" l="1"/>
  <c r="D9" i="11"/>
  <c r="H35" i="11"/>
  <c r="D7" i="11"/>
  <c r="F37" i="11"/>
  <c r="H37" i="11"/>
  <c r="F36" i="11"/>
  <c r="N16" i="17"/>
  <c r="N15" i="17"/>
  <c r="D38" i="11"/>
  <c r="E38" i="11" s="1"/>
  <c r="E33" i="11"/>
  <c r="H36" i="11" s="1"/>
  <c r="E39" i="11"/>
  <c r="F39" i="11" s="1"/>
  <c r="F85" i="7"/>
  <c r="F29" i="14" s="1"/>
  <c r="F35" i="14" s="1"/>
  <c r="F86" i="7"/>
  <c r="F40" i="14" s="1"/>
  <c r="F46" i="14" s="1"/>
  <c r="F83" i="7"/>
  <c r="F7" i="14" s="1"/>
  <c r="F13" i="14" s="1"/>
  <c r="F84" i="7"/>
  <c r="F18" i="14" s="1"/>
  <c r="F24" i="14" s="1"/>
  <c r="F35" i="11"/>
  <c r="H34" i="11"/>
  <c r="F34" i="11"/>
  <c r="F95" i="7"/>
  <c r="F93" i="7"/>
  <c r="F94" i="7"/>
  <c r="F29" i="3" s="1"/>
  <c r="F92" i="7"/>
  <c r="C76" i="8"/>
  <c r="B19" i="1"/>
  <c r="F38" i="11" l="1"/>
  <c r="D8" i="11"/>
  <c r="F33" i="11"/>
  <c r="H33" i="11"/>
  <c r="B13" i="3"/>
  <c r="F40" i="3"/>
  <c r="F7" i="3"/>
  <c r="F13" i="3" s="1"/>
  <c r="F18" i="3"/>
  <c r="K58" i="3"/>
  <c r="P55" i="3"/>
  <c r="R55" i="3"/>
  <c r="N55" i="3"/>
  <c r="R54" i="3"/>
  <c r="N54" i="3"/>
  <c r="P54" i="3"/>
  <c r="R56" i="3"/>
  <c r="N56" i="3"/>
  <c r="P56" i="3"/>
  <c r="S56" i="3" l="1"/>
  <c r="D137" i="3"/>
  <c r="Q56" i="3"/>
  <c r="S55" i="3"/>
  <c r="D139" i="3"/>
  <c r="Q55" i="3"/>
  <c r="D138" i="3"/>
  <c r="V69" i="7"/>
  <c r="T69" i="7"/>
  <c r="S69" i="7"/>
  <c r="U69" i="7"/>
  <c r="V70" i="7"/>
  <c r="T70" i="7"/>
  <c r="U70" i="7"/>
  <c r="S70" i="7"/>
  <c r="U68" i="7"/>
  <c r="T68" i="7"/>
  <c r="V68" i="7"/>
  <c r="S68" i="7"/>
  <c r="U66" i="7"/>
  <c r="T66" i="7"/>
  <c r="V66" i="7"/>
  <c r="L66" i="7"/>
  <c r="N66" i="7"/>
  <c r="M66" i="7"/>
  <c r="L68" i="7"/>
  <c r="N68" i="7"/>
  <c r="K68" i="7"/>
  <c r="M68" i="7"/>
  <c r="L70" i="7"/>
  <c r="N70" i="7"/>
  <c r="K70" i="7"/>
  <c r="M70" i="7"/>
  <c r="M69" i="7"/>
  <c r="L69" i="7"/>
  <c r="N69" i="7"/>
  <c r="K69" i="7"/>
  <c r="C22" i="8"/>
  <c r="C28" i="8" s="1"/>
  <c r="O25" i="8" s="1"/>
  <c r="D78" i="17" s="1"/>
  <c r="C24" i="8"/>
  <c r="C30" i="8" s="1"/>
  <c r="O27" i="8" s="1"/>
  <c r="C23" i="8"/>
  <c r="C29" i="8" s="1"/>
  <c r="O26" i="8" s="1"/>
  <c r="D79" i="17" s="1"/>
  <c r="D23" i="8"/>
  <c r="D29" i="8" s="1"/>
  <c r="O30" i="8" s="1"/>
  <c r="D24" i="8"/>
  <c r="D30" i="8" s="1"/>
  <c r="O31" i="8" s="1"/>
  <c r="D22" i="8"/>
  <c r="D28" i="8" s="1"/>
  <c r="O29" i="8" s="1"/>
  <c r="O56" i="3"/>
  <c r="O55" i="3"/>
  <c r="C13" i="3"/>
  <c r="B21" i="8"/>
  <c r="B27" i="8" s="1"/>
  <c r="O54" i="3"/>
  <c r="Q54" i="3"/>
  <c r="S54" i="3"/>
  <c r="Q84" i="9"/>
  <c r="D96" i="11" s="1"/>
  <c r="Q94" i="9"/>
  <c r="Q92" i="9" s="1"/>
  <c r="D98" i="11" s="1"/>
  <c r="Q90" i="9"/>
  <c r="Q88" i="9" s="1"/>
  <c r="D97" i="11" s="1"/>
  <c r="N35" i="3"/>
  <c r="N24" i="3"/>
  <c r="D35" i="3"/>
  <c r="D46" i="3"/>
  <c r="D24" i="3"/>
  <c r="M35" i="3"/>
  <c r="M24" i="3"/>
  <c r="F46" i="3"/>
  <c r="F24" i="3"/>
  <c r="F35" i="3"/>
  <c r="E46" i="3"/>
  <c r="E24" i="3"/>
  <c r="E35" i="3"/>
  <c r="R27" i="8" l="1"/>
  <c r="D80" i="17"/>
  <c r="D78" i="11"/>
  <c r="R7" i="11" s="1"/>
  <c r="R29" i="8"/>
  <c r="Q150" i="8" s="1"/>
  <c r="D80" i="11"/>
  <c r="R9" i="11" s="1"/>
  <c r="R31" i="8"/>
  <c r="Q152" i="8" s="1"/>
  <c r="Q41" i="3" s="1"/>
  <c r="D79" i="11"/>
  <c r="R8" i="11" s="1"/>
  <c r="R30" i="8"/>
  <c r="Q151" i="8" s="1"/>
  <c r="D36" i="7"/>
  <c r="D47" i="7" s="1"/>
  <c r="N44" i="7" s="1"/>
  <c r="D37" i="7"/>
  <c r="D48" i="7" s="1"/>
  <c r="N45" i="7" s="1"/>
  <c r="D39" i="7"/>
  <c r="D50" i="7" s="1"/>
  <c r="N47" i="7" s="1"/>
  <c r="C38" i="7"/>
  <c r="C49" i="7" s="1"/>
  <c r="I46" i="7" s="1"/>
  <c r="C36" i="7"/>
  <c r="C47" i="7" s="1"/>
  <c r="I44" i="7" s="1"/>
  <c r="B36" i="7"/>
  <c r="B47" i="7" s="1"/>
  <c r="D38" i="7"/>
  <c r="D49" i="7" s="1"/>
  <c r="N46" i="7" s="1"/>
  <c r="C39" i="7"/>
  <c r="C50" i="7" s="1"/>
  <c r="I47" i="7" s="1"/>
  <c r="C37" i="7"/>
  <c r="C48" i="7" s="1"/>
  <c r="I45" i="7" s="1"/>
  <c r="D34" i="7"/>
  <c r="D45" i="7" s="1"/>
  <c r="D44" i="7"/>
  <c r="D32" i="7"/>
  <c r="D43" i="7" s="1"/>
  <c r="B31" i="7"/>
  <c r="B42" i="7" s="1"/>
  <c r="C34" i="7"/>
  <c r="C45" i="7" s="1"/>
  <c r="I43" i="7" s="1"/>
  <c r="D54" i="17" s="1"/>
  <c r="C32" i="7"/>
  <c r="M65" i="7"/>
  <c r="L65" i="7"/>
  <c r="N65" i="7"/>
  <c r="K65" i="7"/>
  <c r="P29" i="8"/>
  <c r="P30" i="8"/>
  <c r="P27" i="8"/>
  <c r="P31" i="8"/>
  <c r="V34" i="8" s="1"/>
  <c r="R26" i="8"/>
  <c r="P26" i="8"/>
  <c r="R25" i="8"/>
  <c r="P25" i="8"/>
  <c r="C21" i="8"/>
  <c r="C27" i="8" s="1"/>
  <c r="O24" i="8" s="1"/>
  <c r="D77" i="17" s="1"/>
  <c r="D21" i="8"/>
  <c r="D27" i="8" s="1"/>
  <c r="O28" i="8" s="1"/>
  <c r="E97" i="11"/>
  <c r="E96" i="11"/>
  <c r="S7" i="11" s="1"/>
  <c r="T7" i="11" s="1"/>
  <c r="E98" i="11"/>
  <c r="S9" i="11" s="1"/>
  <c r="T9" i="11" s="1"/>
  <c r="D26" i="7"/>
  <c r="D27" i="7" s="1"/>
  <c r="T43" i="3"/>
  <c r="I55" i="3" s="1"/>
  <c r="B46" i="3"/>
  <c r="T21" i="3"/>
  <c r="E55" i="3" s="1"/>
  <c r="B24" i="3"/>
  <c r="T32" i="3"/>
  <c r="G55" i="3" s="1"/>
  <c r="B35" i="3"/>
  <c r="S65" i="7"/>
  <c r="V65" i="7"/>
  <c r="T65" i="7"/>
  <c r="O35" i="3"/>
  <c r="O24" i="3"/>
  <c r="U65" i="7"/>
  <c r="F97" i="11" l="1"/>
  <c r="G97" i="11" s="1"/>
  <c r="S8" i="11"/>
  <c r="T8" i="11" s="1"/>
  <c r="R85" i="7"/>
  <c r="R29" i="14" s="1"/>
  <c r="D62" i="17"/>
  <c r="R83" i="7"/>
  <c r="R7" i="14" s="1"/>
  <c r="D60" i="17"/>
  <c r="R86" i="7"/>
  <c r="R40" i="14" s="1"/>
  <c r="D63" i="17"/>
  <c r="R84" i="7"/>
  <c r="R18" i="14" s="1"/>
  <c r="D61" i="17"/>
  <c r="E78" i="17"/>
  <c r="E79" i="17"/>
  <c r="L47" i="7"/>
  <c r="D55" i="17"/>
  <c r="D56" i="17" s="1"/>
  <c r="L46" i="7"/>
  <c r="D52" i="17"/>
  <c r="R93" i="7"/>
  <c r="E61" i="17"/>
  <c r="E80" i="17"/>
  <c r="R94" i="7"/>
  <c r="R95" i="7"/>
  <c r="R40" i="3" s="1"/>
  <c r="R46" i="3" s="1"/>
  <c r="L45" i="7"/>
  <c r="D49" i="17"/>
  <c r="L44" i="7"/>
  <c r="D46" i="17"/>
  <c r="R24" i="8"/>
  <c r="Q141" i="8" s="1"/>
  <c r="Q8" i="14" s="1"/>
  <c r="D77" i="11"/>
  <c r="R6" i="11" s="1"/>
  <c r="R28" i="8"/>
  <c r="Q149" i="8" s="1"/>
  <c r="C43" i="7"/>
  <c r="I41" i="7" s="1"/>
  <c r="D52" i="11"/>
  <c r="Q46" i="7"/>
  <c r="D55" i="11"/>
  <c r="Q47" i="7"/>
  <c r="D49" i="11"/>
  <c r="Q45" i="7"/>
  <c r="D46" i="11"/>
  <c r="Q44" i="7"/>
  <c r="D105" i="3"/>
  <c r="H55" i="3"/>
  <c r="D106" i="3"/>
  <c r="J55" i="3"/>
  <c r="D107" i="3"/>
  <c r="Q30" i="3"/>
  <c r="Q19" i="3"/>
  <c r="R18" i="3"/>
  <c r="N52" i="3" s="1"/>
  <c r="R29" i="3"/>
  <c r="R35" i="3" s="1"/>
  <c r="N42" i="7"/>
  <c r="I51" i="7"/>
  <c r="L43" i="7"/>
  <c r="N41" i="7"/>
  <c r="N43" i="7"/>
  <c r="C44" i="7"/>
  <c r="I42" i="7" s="1"/>
  <c r="D51" i="17" s="1"/>
  <c r="D31" i="7"/>
  <c r="D42" i="7" s="1"/>
  <c r="C31" i="7"/>
  <c r="Q144" i="8"/>
  <c r="Q142" i="8"/>
  <c r="Q19" i="14" s="1"/>
  <c r="Q143" i="8"/>
  <c r="Q30" i="14" s="1"/>
  <c r="Q31" i="8"/>
  <c r="P152" i="8" s="1"/>
  <c r="Q27" i="8"/>
  <c r="P144" i="8" s="1"/>
  <c r="P41" i="14" s="1"/>
  <c r="Q29" i="8"/>
  <c r="P150" i="8" s="1"/>
  <c r="P28" i="8"/>
  <c r="Q25" i="8"/>
  <c r="P142" i="8" s="1"/>
  <c r="P19" i="14" s="1"/>
  <c r="Q26" i="8"/>
  <c r="P143" i="8" s="1"/>
  <c r="P30" i="14" s="1"/>
  <c r="Q30" i="8"/>
  <c r="P151" i="8" s="1"/>
  <c r="R92" i="7"/>
  <c r="F55" i="3"/>
  <c r="D60" i="11"/>
  <c r="I7" i="11"/>
  <c r="F98" i="11"/>
  <c r="I9" i="11"/>
  <c r="H97" i="11"/>
  <c r="I15" i="11" s="1"/>
  <c r="Q15" i="11" s="1"/>
  <c r="I8" i="11"/>
  <c r="F96" i="11"/>
  <c r="P24" i="8"/>
  <c r="D63" i="11"/>
  <c r="D62" i="11"/>
  <c r="D61" i="11"/>
  <c r="B58" i="3"/>
  <c r="J47" i="7"/>
  <c r="E56" i="3"/>
  <c r="T42" i="3"/>
  <c r="T33" i="3"/>
  <c r="G56" i="3" s="1"/>
  <c r="T44" i="3"/>
  <c r="I56" i="3" s="1"/>
  <c r="C35" i="3"/>
  <c r="T31" i="3"/>
  <c r="C24" i="3"/>
  <c r="T20" i="3"/>
  <c r="J44" i="7"/>
  <c r="E54" i="3" l="1"/>
  <c r="U21" i="3"/>
  <c r="G54" i="3"/>
  <c r="U32" i="3"/>
  <c r="I54" i="3"/>
  <c r="U43" i="3"/>
  <c r="T152" i="8"/>
  <c r="P41" i="3"/>
  <c r="U41" i="3" s="1"/>
  <c r="E63" i="17"/>
  <c r="F63" i="17" s="1"/>
  <c r="G63" i="17" s="1"/>
  <c r="H63" i="17" s="1"/>
  <c r="E16" i="17" s="1"/>
  <c r="E62" i="17"/>
  <c r="F62" i="17" s="1"/>
  <c r="G62" i="17" s="1"/>
  <c r="H62" i="17" s="1"/>
  <c r="E15" i="17" s="1"/>
  <c r="D53" i="17"/>
  <c r="F61" i="17"/>
  <c r="G61" i="17" s="1"/>
  <c r="H61" i="17" s="1"/>
  <c r="E14" i="17" s="1"/>
  <c r="E7" i="17"/>
  <c r="E8" i="17"/>
  <c r="I49" i="7"/>
  <c r="D48" i="17"/>
  <c r="D50" i="17" s="1"/>
  <c r="E55" i="17"/>
  <c r="F55" i="17" s="1"/>
  <c r="G55" i="17" s="1"/>
  <c r="H55" i="17" s="1"/>
  <c r="E52" i="17"/>
  <c r="E49" i="17"/>
  <c r="F80" i="17"/>
  <c r="G80" i="17" s="1"/>
  <c r="H80" i="17" s="1"/>
  <c r="F16" i="17" s="1"/>
  <c r="F9" i="17"/>
  <c r="F7" i="17"/>
  <c r="F78" i="17"/>
  <c r="G78" i="17" s="1"/>
  <c r="H78" i="17" s="1"/>
  <c r="F14" i="17" s="1"/>
  <c r="F79" i="17"/>
  <c r="G79" i="17" s="1"/>
  <c r="H79" i="17" s="1"/>
  <c r="F15" i="17" s="1"/>
  <c r="F8" i="17"/>
  <c r="Q24" i="8"/>
  <c r="P141" i="8" s="1"/>
  <c r="P8" i="14" s="1"/>
  <c r="D51" i="11"/>
  <c r="D53" i="11" s="1"/>
  <c r="Q42" i="7"/>
  <c r="Q50" i="7" s="1"/>
  <c r="D54" i="11"/>
  <c r="D56" i="11" s="1"/>
  <c r="Q43" i="7"/>
  <c r="Q51" i="7" s="1"/>
  <c r="L41" i="7"/>
  <c r="D48" i="11"/>
  <c r="D50" i="11" s="1"/>
  <c r="Q41" i="7"/>
  <c r="Q49" i="7" s="1"/>
  <c r="D122" i="3"/>
  <c r="J56" i="3"/>
  <c r="H56" i="3"/>
  <c r="R52" i="3"/>
  <c r="Q41" i="14"/>
  <c r="T41" i="14" s="1"/>
  <c r="I53" i="14" s="1"/>
  <c r="T30" i="14"/>
  <c r="G53" i="14" s="1"/>
  <c r="Q8" i="3"/>
  <c r="T19" i="14"/>
  <c r="E53" i="14" s="1"/>
  <c r="R52" i="14"/>
  <c r="C124" i="3" s="1"/>
  <c r="R46" i="14"/>
  <c r="N52" i="14"/>
  <c r="C122" i="3" s="1"/>
  <c r="R24" i="14"/>
  <c r="R7" i="3"/>
  <c r="L52" i="3" s="1"/>
  <c r="P52" i="14"/>
  <c r="C123" i="3" s="1"/>
  <c r="R35" i="14"/>
  <c r="T150" i="8"/>
  <c r="P19" i="3"/>
  <c r="T151" i="8"/>
  <c r="P30" i="3"/>
  <c r="L51" i="7"/>
  <c r="Q86" i="7" s="1"/>
  <c r="Q40" i="14" s="1"/>
  <c r="N40" i="7"/>
  <c r="N51" i="7"/>
  <c r="O43" i="7"/>
  <c r="N49" i="7"/>
  <c r="O41" i="7"/>
  <c r="N50" i="7"/>
  <c r="O42" i="7"/>
  <c r="I50" i="7"/>
  <c r="L42" i="7"/>
  <c r="O47" i="7"/>
  <c r="O45" i="7"/>
  <c r="O46" i="7"/>
  <c r="C42" i="7"/>
  <c r="I40" i="7" s="1"/>
  <c r="D45" i="17" s="1"/>
  <c r="Q28" i="8"/>
  <c r="P149" i="8" s="1"/>
  <c r="G96" i="11"/>
  <c r="H96" i="11" s="1"/>
  <c r="I14" i="11" s="1"/>
  <c r="Q14" i="11" s="1"/>
  <c r="G98" i="11"/>
  <c r="H98" i="11" s="1"/>
  <c r="I16" i="11" s="1"/>
  <c r="Q16" i="11" s="1"/>
  <c r="E61" i="11"/>
  <c r="E7" i="11" s="1"/>
  <c r="E62" i="11"/>
  <c r="E8" i="11" s="1"/>
  <c r="E63" i="11"/>
  <c r="E9" i="11" s="1"/>
  <c r="F56" i="3"/>
  <c r="T143" i="8"/>
  <c r="T142" i="8"/>
  <c r="T144" i="8"/>
  <c r="P52" i="3"/>
  <c r="R24" i="3"/>
  <c r="I22" i="11"/>
  <c r="J42" i="7"/>
  <c r="E80" i="11"/>
  <c r="E79" i="11"/>
  <c r="F8" i="11" s="1"/>
  <c r="Q8" i="11" s="1"/>
  <c r="E78" i="11"/>
  <c r="F7" i="11" s="1"/>
  <c r="Q7" i="11" s="1"/>
  <c r="H54" i="3"/>
  <c r="J54" i="3"/>
  <c r="F54" i="3"/>
  <c r="N58" i="3"/>
  <c r="O52" i="3"/>
  <c r="K47" i="7"/>
  <c r="K44" i="7"/>
  <c r="C46" i="3"/>
  <c r="E9" i="17" l="1"/>
  <c r="F22" i="17"/>
  <c r="T30" i="3"/>
  <c r="G53" i="3" s="1"/>
  <c r="U30" i="3"/>
  <c r="T19" i="3"/>
  <c r="E53" i="3" s="1"/>
  <c r="U19" i="3"/>
  <c r="F21" i="17"/>
  <c r="F52" i="17"/>
  <c r="G52" i="17" s="1"/>
  <c r="H52" i="17" s="1"/>
  <c r="P15" i="17"/>
  <c r="E22" i="17"/>
  <c r="F23" i="17"/>
  <c r="F49" i="17"/>
  <c r="G49" i="17" s="1"/>
  <c r="H49" i="17" s="1"/>
  <c r="P16" i="17"/>
  <c r="E23" i="17"/>
  <c r="E54" i="17"/>
  <c r="F54" i="17" s="1"/>
  <c r="G54" i="17" s="1"/>
  <c r="H54" i="17" s="1"/>
  <c r="H56" i="17" s="1"/>
  <c r="C16" i="17" s="1"/>
  <c r="E51" i="17"/>
  <c r="F51" i="17" s="1"/>
  <c r="G51" i="17" s="1"/>
  <c r="H51" i="17" s="1"/>
  <c r="D47" i="17"/>
  <c r="E48" i="17"/>
  <c r="F48" i="17" s="1"/>
  <c r="G48" i="17" s="1"/>
  <c r="H48" i="17" s="1"/>
  <c r="P14" i="17"/>
  <c r="E21" i="17"/>
  <c r="J40" i="7"/>
  <c r="L40" i="7"/>
  <c r="L48" i="7" s="1"/>
  <c r="D45" i="11"/>
  <c r="D47" i="11" s="1"/>
  <c r="P6" i="11" s="1"/>
  <c r="Q40" i="7"/>
  <c r="Q48" i="7" s="1"/>
  <c r="D97" i="3"/>
  <c r="O58" i="3"/>
  <c r="P58" i="3"/>
  <c r="D123" i="3"/>
  <c r="M52" i="3"/>
  <c r="D121" i="3"/>
  <c r="R58" i="3"/>
  <c r="R59" i="3" s="1"/>
  <c r="D124" i="3"/>
  <c r="F53" i="14"/>
  <c r="C97" i="3"/>
  <c r="H53" i="14"/>
  <c r="C98" i="3"/>
  <c r="H53" i="3"/>
  <c r="D98" i="3"/>
  <c r="J53" i="14"/>
  <c r="C99" i="3"/>
  <c r="S52" i="3"/>
  <c r="T41" i="3"/>
  <c r="I53" i="3" s="1"/>
  <c r="T8" i="14"/>
  <c r="C53" i="14" s="1"/>
  <c r="R13" i="3"/>
  <c r="L58" i="3" s="1"/>
  <c r="Q52" i="14"/>
  <c r="P58" i="14"/>
  <c r="O52" i="14"/>
  <c r="N58" i="14"/>
  <c r="S52" i="14"/>
  <c r="R58" i="14"/>
  <c r="L52" i="14"/>
  <c r="R13" i="14"/>
  <c r="L58" i="14" s="1"/>
  <c r="T149" i="8"/>
  <c r="P8" i="3"/>
  <c r="P46" i="7"/>
  <c r="Q94" i="7"/>
  <c r="I48" i="7"/>
  <c r="O49" i="7"/>
  <c r="P41" i="7"/>
  <c r="O51" i="7"/>
  <c r="P43" i="7"/>
  <c r="N48" i="7"/>
  <c r="O40" i="7"/>
  <c r="P45" i="7"/>
  <c r="P47" i="7"/>
  <c r="O50" i="7"/>
  <c r="P42" i="7"/>
  <c r="Q93" i="7"/>
  <c r="Q95" i="7"/>
  <c r="Q46" i="14" s="1"/>
  <c r="O44" i="7"/>
  <c r="J41" i="7"/>
  <c r="F9" i="11"/>
  <c r="Q9" i="11" s="1"/>
  <c r="F62" i="11"/>
  <c r="G62" i="11" s="1"/>
  <c r="H62" i="11" s="1"/>
  <c r="E15" i="11" s="1"/>
  <c r="I23" i="11"/>
  <c r="I21" i="11"/>
  <c r="Q52" i="3"/>
  <c r="F63" i="11"/>
  <c r="G63" i="11" s="1"/>
  <c r="H63" i="11" s="1"/>
  <c r="E16" i="11" s="1"/>
  <c r="F61" i="11"/>
  <c r="G61" i="11" s="1"/>
  <c r="H61" i="11" s="1"/>
  <c r="E14" i="11" s="1"/>
  <c r="P14" i="11" s="1"/>
  <c r="F53" i="3"/>
  <c r="T141" i="8"/>
  <c r="L49" i="7"/>
  <c r="Q84" i="7" s="1"/>
  <c r="Q18" i="14" s="1"/>
  <c r="K42" i="7"/>
  <c r="F79" i="11"/>
  <c r="G79" i="11" s="1"/>
  <c r="H79" i="11" s="1"/>
  <c r="F15" i="11" s="1"/>
  <c r="F22" i="11" s="1"/>
  <c r="F78" i="11"/>
  <c r="G78" i="11" s="1"/>
  <c r="H78" i="11" s="1"/>
  <c r="F14" i="11" s="1"/>
  <c r="F21" i="11" s="1"/>
  <c r="F80" i="11"/>
  <c r="J46" i="7"/>
  <c r="J50" i="7" s="1"/>
  <c r="J43" i="7"/>
  <c r="J51" i="7" s="1"/>
  <c r="T8" i="3" l="1"/>
  <c r="C53" i="3" s="1"/>
  <c r="D53" i="3" s="1"/>
  <c r="U8" i="3"/>
  <c r="E23" i="11"/>
  <c r="P16" i="11"/>
  <c r="E22" i="11"/>
  <c r="P15" i="11"/>
  <c r="E53" i="17"/>
  <c r="E56" i="17"/>
  <c r="E50" i="17"/>
  <c r="H53" i="17"/>
  <c r="C15" i="17" s="1"/>
  <c r="O16" i="17"/>
  <c r="L16" i="17"/>
  <c r="H50" i="17"/>
  <c r="C14" i="17" s="1"/>
  <c r="M58" i="14"/>
  <c r="L59" i="14"/>
  <c r="O58" i="14"/>
  <c r="N59" i="14"/>
  <c r="S58" i="14"/>
  <c r="R59" i="14"/>
  <c r="Q58" i="14"/>
  <c r="P59" i="14"/>
  <c r="K40" i="7"/>
  <c r="J48" i="7"/>
  <c r="P50" i="7"/>
  <c r="P94" i="7" s="1"/>
  <c r="M58" i="3"/>
  <c r="S58" i="3"/>
  <c r="Q58" i="3"/>
  <c r="M52" i="14"/>
  <c r="C121" i="3"/>
  <c r="D96" i="3"/>
  <c r="J53" i="3"/>
  <c r="D99" i="3"/>
  <c r="D53" i="14"/>
  <c r="C96" i="3"/>
  <c r="E48" i="11"/>
  <c r="F48" i="11" s="1"/>
  <c r="G48" i="11" s="1"/>
  <c r="H48" i="11" s="1"/>
  <c r="Q24" i="14"/>
  <c r="Q83" i="7"/>
  <c r="Q7" i="14" s="1"/>
  <c r="E51" i="11"/>
  <c r="F51" i="11" s="1"/>
  <c r="G51" i="11" s="1"/>
  <c r="O48" i="7"/>
  <c r="P40" i="7"/>
  <c r="Q92" i="7"/>
  <c r="Q7" i="3" s="1"/>
  <c r="Q13" i="3" s="1"/>
  <c r="P44" i="7"/>
  <c r="P51" i="7"/>
  <c r="P95" i="7" s="1"/>
  <c r="P49" i="7"/>
  <c r="P93" i="7" s="1"/>
  <c r="L50" i="7"/>
  <c r="Q85" i="7" s="1"/>
  <c r="Q29" i="14" s="1"/>
  <c r="Q35" i="14" s="1"/>
  <c r="K41" i="7"/>
  <c r="E52" i="11"/>
  <c r="F52" i="11" s="1"/>
  <c r="G52" i="11" s="1"/>
  <c r="E55" i="11"/>
  <c r="F55" i="11" s="1"/>
  <c r="E49" i="11"/>
  <c r="F49" i="11" s="1"/>
  <c r="G49" i="11" s="1"/>
  <c r="H49" i="11" s="1"/>
  <c r="G80" i="11"/>
  <c r="H80" i="11" s="1"/>
  <c r="F16" i="11" s="1"/>
  <c r="F23" i="11" s="1"/>
  <c r="E54" i="11"/>
  <c r="F54" i="11" s="1"/>
  <c r="Q40" i="3"/>
  <c r="Q46" i="3" s="1"/>
  <c r="Q29" i="3"/>
  <c r="Q35" i="3" s="1"/>
  <c r="Q18" i="3"/>
  <c r="Q24" i="3" s="1"/>
  <c r="E21" i="11"/>
  <c r="E53" i="11"/>
  <c r="E56" i="11"/>
  <c r="J45" i="7"/>
  <c r="K45" i="7" s="1"/>
  <c r="E50" i="11"/>
  <c r="K43" i="7"/>
  <c r="K46" i="7"/>
  <c r="K50" i="7" s="1"/>
  <c r="P85" i="7" s="1"/>
  <c r="P29" i="14" s="1"/>
  <c r="P35" i="14" s="1"/>
  <c r="O14" i="17" l="1"/>
  <c r="L14" i="17"/>
  <c r="M16" i="17" s="1"/>
  <c r="O15" i="17"/>
  <c r="L15" i="17"/>
  <c r="F50" i="17"/>
  <c r="C7" i="17"/>
  <c r="L7" i="17" s="1"/>
  <c r="F56" i="17"/>
  <c r="C9" i="17"/>
  <c r="C8" i="17"/>
  <c r="L8" i="17" s="1"/>
  <c r="F53" i="17"/>
  <c r="H50" i="11"/>
  <c r="C14" i="11" s="1"/>
  <c r="T29" i="14"/>
  <c r="G52" i="14" s="1"/>
  <c r="C91" i="3" s="1"/>
  <c r="Q13" i="14"/>
  <c r="K48" i="7"/>
  <c r="P83" i="7" s="1"/>
  <c r="T85" i="7"/>
  <c r="K51" i="7"/>
  <c r="P86" i="7" s="1"/>
  <c r="K49" i="7"/>
  <c r="P84" i="7" s="1"/>
  <c r="P48" i="7"/>
  <c r="P92" i="7" s="1"/>
  <c r="J49" i="7"/>
  <c r="G55" i="11"/>
  <c r="G54" i="11"/>
  <c r="P29" i="3"/>
  <c r="P35" i="3" s="1"/>
  <c r="T94" i="7"/>
  <c r="F50" i="11"/>
  <c r="C7" i="11"/>
  <c r="O7" i="11" s="1"/>
  <c r="P7" i="11" s="1"/>
  <c r="F56" i="11"/>
  <c r="C9" i="11"/>
  <c r="O9" i="11" s="1"/>
  <c r="P9" i="11" s="1"/>
  <c r="F53" i="11"/>
  <c r="C8" i="11"/>
  <c r="O8" i="11" s="1"/>
  <c r="P8" i="11" s="1"/>
  <c r="L14" i="11" l="1"/>
  <c r="O14" i="11"/>
  <c r="C22" i="17"/>
  <c r="L9" i="17"/>
  <c r="C23" i="17"/>
  <c r="M15" i="17"/>
  <c r="L22" i="17"/>
  <c r="L21" i="17"/>
  <c r="M8" i="17"/>
  <c r="C21" i="17"/>
  <c r="C21" i="11"/>
  <c r="T35" i="14"/>
  <c r="T83" i="7"/>
  <c r="P7" i="14"/>
  <c r="T84" i="7"/>
  <c r="P18" i="14"/>
  <c r="T86" i="7"/>
  <c r="P40" i="14"/>
  <c r="P7" i="3"/>
  <c r="T7" i="3" s="1"/>
  <c r="C52" i="3" s="1"/>
  <c r="H52" i="14"/>
  <c r="G58" i="14"/>
  <c r="T92" i="7"/>
  <c r="T29" i="3"/>
  <c r="T35" i="3" s="1"/>
  <c r="P18" i="3"/>
  <c r="T93" i="7"/>
  <c r="P40" i="3"/>
  <c r="T95" i="7"/>
  <c r="M22" i="17" l="1"/>
  <c r="M9" i="17"/>
  <c r="M23" i="17" s="1"/>
  <c r="L23" i="17"/>
  <c r="H58" i="14"/>
  <c r="G59" i="14"/>
  <c r="D52" i="3"/>
  <c r="D89" i="3"/>
  <c r="P24" i="14"/>
  <c r="T18" i="14"/>
  <c r="P46" i="14"/>
  <c r="T40" i="14"/>
  <c r="T13" i="3"/>
  <c r="P13" i="3"/>
  <c r="P13" i="14"/>
  <c r="T7" i="14"/>
  <c r="G52" i="3"/>
  <c r="T40" i="3"/>
  <c r="P46" i="3"/>
  <c r="P24" i="3"/>
  <c r="T18" i="3"/>
  <c r="C58" i="3" l="1"/>
  <c r="C59" i="3" s="1"/>
  <c r="U35" i="3"/>
  <c r="U36" i="3" s="1"/>
  <c r="G58" i="3"/>
  <c r="G59" i="3" s="1"/>
  <c r="D91" i="3"/>
  <c r="I52" i="14"/>
  <c r="C92" i="3" s="1"/>
  <c r="T46" i="14"/>
  <c r="E52" i="14"/>
  <c r="C90" i="3" s="1"/>
  <c r="T24" i="14"/>
  <c r="C52" i="14"/>
  <c r="T13" i="14"/>
  <c r="C58" i="14" s="1"/>
  <c r="H52" i="3"/>
  <c r="T24" i="3"/>
  <c r="U24" i="3" s="1"/>
  <c r="U25" i="3" s="1"/>
  <c r="E52" i="3"/>
  <c r="T46" i="3"/>
  <c r="U46" i="3" s="1"/>
  <c r="U47" i="3" s="1"/>
  <c r="I52" i="3"/>
  <c r="H52" i="11"/>
  <c r="L8" i="11" s="1"/>
  <c r="M8" i="11" s="1"/>
  <c r="D58" i="3" l="1"/>
  <c r="D58" i="14"/>
  <c r="C59" i="14"/>
  <c r="D90" i="3"/>
  <c r="D92" i="3"/>
  <c r="H58" i="3"/>
  <c r="D52" i="14"/>
  <c r="C89" i="3"/>
  <c r="F52" i="14"/>
  <c r="E58" i="14"/>
  <c r="J52" i="14"/>
  <c r="I58" i="14"/>
  <c r="J52" i="3"/>
  <c r="I58" i="3"/>
  <c r="I59" i="3" s="1"/>
  <c r="E58" i="3"/>
  <c r="E59" i="3" s="1"/>
  <c r="F52" i="3"/>
  <c r="H51" i="11"/>
  <c r="F58" i="14" l="1"/>
  <c r="E59" i="14"/>
  <c r="J58" i="14"/>
  <c r="I59" i="14"/>
  <c r="J58" i="3"/>
  <c r="F58" i="3"/>
  <c r="H53" i="11"/>
  <c r="L7" i="11"/>
  <c r="H55" i="11"/>
  <c r="L21" i="11" l="1"/>
  <c r="N21" i="11"/>
  <c r="C110" i="11" s="1"/>
  <c r="C15" i="11"/>
  <c r="O15" i="11" s="1"/>
  <c r="L9" i="11"/>
  <c r="M9" i="11" s="1"/>
  <c r="H54" i="11"/>
  <c r="H56" i="11" s="1"/>
  <c r="C22" i="11" l="1"/>
  <c r="C16" i="11"/>
  <c r="O16" i="11" s="1"/>
  <c r="C23" i="11" l="1"/>
  <c r="H72" i="11" l="1"/>
  <c r="G16" i="11" s="1"/>
  <c r="H40" i="11"/>
  <c r="H71" i="11"/>
  <c r="G15" i="11" s="1"/>
  <c r="H39" i="11"/>
  <c r="H38" i="11" l="1"/>
  <c r="D15" i="11" s="1"/>
  <c r="N15" i="11" s="1"/>
  <c r="H41" i="11"/>
  <c r="D16" i="11" s="1"/>
  <c r="N16" i="11" s="1"/>
  <c r="L15" i="11" l="1"/>
  <c r="L16" i="11"/>
  <c r="M16" i="11" l="1"/>
  <c r="M23" i="11" s="1"/>
  <c r="N23" i="11"/>
  <c r="C112" i="11" s="1"/>
  <c r="O23" i="11"/>
  <c r="D112" i="11" s="1"/>
  <c r="L22" i="11"/>
  <c r="N22" i="11"/>
  <c r="C111" i="11" s="1"/>
  <c r="O22" i="11"/>
  <c r="D111" i="11" s="1"/>
  <c r="L23" i="11"/>
  <c r="M15" i="11"/>
  <c r="M22" i="11" s="1"/>
</calcChain>
</file>

<file path=xl/comments1.xml><?xml version="1.0" encoding="utf-8"?>
<comments xmlns="http://schemas.openxmlformats.org/spreadsheetml/2006/main">
  <authors>
    <author>Peter Bach</author>
  </authors>
  <commentList>
    <comment ref="I18" authorId="0">
      <text>
        <r>
          <rPr>
            <b/>
            <sz val="9"/>
            <color indexed="81"/>
            <rFont val="Tahoma"/>
            <charset val="1"/>
          </rPr>
          <t>Peter Bach:</t>
        </r>
        <r>
          <rPr>
            <sz val="9"/>
            <color indexed="81"/>
            <rFont val="Tahoma"/>
            <charset val="1"/>
          </rPr>
          <t xml:space="preserve">
Er ikke blevet brugt</t>
        </r>
      </text>
    </comment>
  </commentList>
</comments>
</file>

<file path=xl/comments2.xml><?xml version="1.0" encoding="utf-8"?>
<comments xmlns="http://schemas.openxmlformats.org/spreadsheetml/2006/main">
  <authors>
    <author>Peter Bach</author>
  </authors>
  <commentList>
    <comment ref="G61" authorId="0">
      <text>
        <r>
          <rPr>
            <b/>
            <sz val="8"/>
            <color indexed="81"/>
            <rFont val="Tahoma"/>
            <family val="2"/>
          </rPr>
          <t>Peter Bach:</t>
        </r>
        <r>
          <rPr>
            <sz val="8"/>
            <color indexed="81"/>
            <rFont val="Tahoma"/>
            <family val="2"/>
          </rPr>
          <t xml:space="preserve">
Omkostninger for elapparater</t>
        </r>
      </text>
    </comment>
    <comment ref="G86" authorId="0">
      <text>
        <r>
          <rPr>
            <b/>
            <sz val="8"/>
            <color indexed="81"/>
            <rFont val="Tahoma"/>
            <family val="2"/>
          </rPr>
          <t>Peter Bach:</t>
        </r>
        <r>
          <rPr>
            <sz val="8"/>
            <color indexed="81"/>
            <rFont val="Tahoma"/>
            <family val="2"/>
          </rPr>
          <t xml:space="preserve">
Omkostniner for proces-el
</t>
        </r>
      </text>
    </comment>
  </commentList>
</comments>
</file>

<file path=xl/comments3.xml><?xml version="1.0" encoding="utf-8"?>
<comments xmlns="http://schemas.openxmlformats.org/spreadsheetml/2006/main">
  <authors>
    <author>Peter Bach</author>
  </authors>
  <commentList>
    <comment ref="G61" authorId="0">
      <text>
        <r>
          <rPr>
            <b/>
            <sz val="8"/>
            <color indexed="81"/>
            <rFont val="Tahoma"/>
            <family val="2"/>
          </rPr>
          <t>Peter Bach:</t>
        </r>
        <r>
          <rPr>
            <sz val="8"/>
            <color indexed="81"/>
            <rFont val="Tahoma"/>
            <family val="2"/>
          </rPr>
          <t xml:space="preserve">
Omkostninger for elapparater</t>
        </r>
      </text>
    </comment>
    <comment ref="G86" authorId="0">
      <text>
        <r>
          <rPr>
            <b/>
            <sz val="8"/>
            <color indexed="81"/>
            <rFont val="Tahoma"/>
            <family val="2"/>
          </rPr>
          <t>Peter Bach:</t>
        </r>
        <r>
          <rPr>
            <sz val="8"/>
            <color indexed="81"/>
            <rFont val="Tahoma"/>
            <family val="2"/>
          </rPr>
          <t xml:space="preserve">
Omkostniner for proces-el
</t>
        </r>
      </text>
    </comment>
  </commentList>
</comments>
</file>

<file path=xl/sharedStrings.xml><?xml version="1.0" encoding="utf-8"?>
<sst xmlns="http://schemas.openxmlformats.org/spreadsheetml/2006/main" count="2121" uniqueCount="415">
  <si>
    <t>Nettoforbrug</t>
  </si>
  <si>
    <t>PJ</t>
  </si>
  <si>
    <t>Personbiler</t>
  </si>
  <si>
    <t>Lastbiler</t>
  </si>
  <si>
    <t>Fly</t>
  </si>
  <si>
    <t>Jernbaner</t>
  </si>
  <si>
    <t>Skibe</t>
  </si>
  <si>
    <t>Procesvarme</t>
  </si>
  <si>
    <t>Rumvarme</t>
  </si>
  <si>
    <t>Fjernvarme</t>
  </si>
  <si>
    <t>Elektricitet</t>
  </si>
  <si>
    <t>BEPB</t>
  </si>
  <si>
    <t>BELB</t>
  </si>
  <si>
    <t>BEFL</t>
  </si>
  <si>
    <t>BEJB</t>
  </si>
  <si>
    <t>BESK</t>
  </si>
  <si>
    <t>HTPV</t>
  </si>
  <si>
    <t>MTPV</t>
  </si>
  <si>
    <t>LTPV</t>
  </si>
  <si>
    <t>LTIV</t>
  </si>
  <si>
    <t>LTFV</t>
  </si>
  <si>
    <t>NVEL</t>
  </si>
  <si>
    <t>Enfamilieboliger</t>
  </si>
  <si>
    <t>Etageboliger</t>
  </si>
  <si>
    <t>Offentlig sektor</t>
  </si>
  <si>
    <t>Engroshandel</t>
  </si>
  <si>
    <t>Detailhandel</t>
  </si>
  <si>
    <t>Privat service</t>
  </si>
  <si>
    <t>Landbrug og skovbrug</t>
  </si>
  <si>
    <t>Gartneri</t>
  </si>
  <si>
    <t>Fiskeri</t>
  </si>
  <si>
    <t>Fremstillingsvirksomhed</t>
  </si>
  <si>
    <t>Bygge- og anlægsvirksomhed</t>
  </si>
  <si>
    <t xml:space="preserve">I alt </t>
  </si>
  <si>
    <t>I alt</t>
  </si>
  <si>
    <t>Transport</t>
  </si>
  <si>
    <t>Forbrug til ikke-energimæssige formål er ikke medtaget</t>
  </si>
  <si>
    <t>Diverse</t>
  </si>
  <si>
    <t>Belysning</t>
  </si>
  <si>
    <t>Ventilation</t>
  </si>
  <si>
    <t>Køl/frys</t>
  </si>
  <si>
    <t>Edb og elektronik</t>
  </si>
  <si>
    <t>Pumper, vamt vand mv</t>
  </si>
  <si>
    <t>Handel - engros og detail</t>
  </si>
  <si>
    <t xml:space="preserve">Elektricitet i alt </t>
  </si>
  <si>
    <t>Transport (plæneklipper mv.)</t>
  </si>
  <si>
    <t>Offentlig service</t>
  </si>
  <si>
    <t>Landbrug, gartneri og fiskeri</t>
  </si>
  <si>
    <t>Fremstillingserhverv</t>
  </si>
  <si>
    <t>Bygge- og anlæg</t>
  </si>
  <si>
    <t xml:space="preserve">Vækst </t>
  </si>
  <si>
    <t>Pct/år</t>
  </si>
  <si>
    <t>Årlig effektivisering</t>
  </si>
  <si>
    <t>Frozzen</t>
  </si>
  <si>
    <t>Reference</t>
  </si>
  <si>
    <t>Moderat</t>
  </si>
  <si>
    <t>Stor</t>
  </si>
  <si>
    <t>Forudsætninger - opvarmning</t>
  </si>
  <si>
    <t>2016-2020</t>
  </si>
  <si>
    <t>Enfamilie</t>
  </si>
  <si>
    <t>Etage</t>
  </si>
  <si>
    <t>Gennemsnitlig nybyggeri per år, mio. m2</t>
  </si>
  <si>
    <t>Nybyggeri</t>
  </si>
  <si>
    <t>Tidsmæssig fordeling, årlig mio. m2</t>
  </si>
  <si>
    <t>Nybyggeri:</t>
  </si>
  <si>
    <t>Nettoforbrug, GJ/100 m2</t>
  </si>
  <si>
    <t>Husholdninger - opvarmning</t>
  </si>
  <si>
    <t>Nettoforbrug, PJ</t>
  </si>
  <si>
    <t>Eksisterende bygninger</t>
  </si>
  <si>
    <t xml:space="preserve">    Reference</t>
  </si>
  <si>
    <t xml:space="preserve">    Moderat besparelse</t>
  </si>
  <si>
    <t xml:space="preserve">    Store besparelser</t>
  </si>
  <si>
    <t>2050 - Nettovarmeforbrug, PJ:</t>
  </si>
  <si>
    <t>Eksisterende byggeri</t>
  </si>
  <si>
    <t>Fjernvarmeandel:</t>
  </si>
  <si>
    <t>Husholdninger - apparater</t>
  </si>
  <si>
    <t xml:space="preserve">    Lys</t>
  </si>
  <si>
    <t xml:space="preserve">    Køl/frys, vask/opvask, madlavning. </t>
  </si>
  <si>
    <t xml:space="preserve">    Underholdning</t>
  </si>
  <si>
    <t xml:space="preserve">    Opvarmning (pumper, varmt vand mv.)</t>
  </si>
  <si>
    <t xml:space="preserve">    Diverse</t>
  </si>
  <si>
    <t>Fordeling</t>
  </si>
  <si>
    <t>%</t>
  </si>
  <si>
    <t>Absolut</t>
  </si>
  <si>
    <t>Husholdninger - øvrig:</t>
  </si>
  <si>
    <t>Forbrug, PJ</t>
  </si>
  <si>
    <t>Handel og service - opvarmning</t>
  </si>
  <si>
    <t>Handel og service - apparater:</t>
  </si>
  <si>
    <t>Elektricitet, i alt</t>
  </si>
  <si>
    <t>Produktionserhverv</t>
  </si>
  <si>
    <t xml:space="preserve">Udvikling i energitjenester </t>
  </si>
  <si>
    <t>Årlig vækst</t>
  </si>
  <si>
    <t>Reference:</t>
  </si>
  <si>
    <t>Moderat besparelse:</t>
  </si>
  <si>
    <t>Store besparelser:</t>
  </si>
  <si>
    <t>Nettoenergiforbrug i 2050, PJ</t>
  </si>
  <si>
    <t>Samlet opvarmning:</t>
  </si>
  <si>
    <t>Nye byg</t>
  </si>
  <si>
    <t>Eks. Byg</t>
  </si>
  <si>
    <t>heraf indv</t>
  </si>
  <si>
    <t>fjv</t>
  </si>
  <si>
    <t xml:space="preserve"> </t>
  </si>
  <si>
    <t>Landbrug, gartneri, fiskeri</t>
  </si>
  <si>
    <t>Handel og service</t>
  </si>
  <si>
    <t>Moderate besparelser</t>
  </si>
  <si>
    <t>Store besparelser</t>
  </si>
  <si>
    <t>Husholdninger</t>
  </si>
  <si>
    <t>Handel og service i alt</t>
  </si>
  <si>
    <t>Handel</t>
  </si>
  <si>
    <t>Årlig i %</t>
  </si>
  <si>
    <t>I 2050</t>
  </si>
  <si>
    <t>Opvarmet areal</t>
  </si>
  <si>
    <t>Apparater</t>
  </si>
  <si>
    <t>Forudsætninger om effektiviseringer</t>
  </si>
  <si>
    <t>Forudsætninger om vækst i energitjeneste</t>
  </si>
  <si>
    <t>Opvarming eks. bygninger</t>
  </si>
  <si>
    <t>El</t>
  </si>
  <si>
    <t>Øvrige forudsætninger</t>
  </si>
  <si>
    <t>Andel af areal</t>
  </si>
  <si>
    <t>Store</t>
  </si>
  <si>
    <t>Antal kvadratmeter</t>
  </si>
  <si>
    <t>Privat forbrug</t>
  </si>
  <si>
    <t>Driver for energitjeneste</t>
  </si>
  <si>
    <t>Befolkning + familiestørrelse</t>
  </si>
  <si>
    <t>Historisk udvikling</t>
  </si>
  <si>
    <t>Areal</t>
  </si>
  <si>
    <t>Økonomisk aktivitet</t>
  </si>
  <si>
    <t>Nødvendig el</t>
  </si>
  <si>
    <t>Traktorer mv.</t>
  </si>
  <si>
    <t>&lt;50 °C</t>
  </si>
  <si>
    <t>50-75 °C</t>
  </si>
  <si>
    <t>75-100 °C</t>
  </si>
  <si>
    <t>100-150 °C</t>
  </si>
  <si>
    <t>150-200 °C</t>
  </si>
  <si>
    <t>&gt;200 °C</t>
  </si>
  <si>
    <t>Effektiviseringer</t>
  </si>
  <si>
    <t>Frozen</t>
  </si>
  <si>
    <t>Nettoforbrug 2050</t>
  </si>
  <si>
    <t>Årl.vækst</t>
  </si>
  <si>
    <t>Varebiler</t>
  </si>
  <si>
    <t>Busser</t>
  </si>
  <si>
    <t>MC/knal</t>
  </si>
  <si>
    <t>Plænekl.</t>
  </si>
  <si>
    <t>Motorcykler og knallerter</t>
  </si>
  <si>
    <t>Persontransport, bane</t>
  </si>
  <si>
    <t>Godstransport, bane</t>
  </si>
  <si>
    <t>MJ mek/km - ændringer ift 2009</t>
  </si>
  <si>
    <t>Søtransport</t>
  </si>
  <si>
    <t>Lufttransport</t>
  </si>
  <si>
    <t>Forsvar - fly</t>
  </si>
  <si>
    <t>Forsvar - køretøjer</t>
  </si>
  <si>
    <t>Mio køretøjskilometer</t>
  </si>
  <si>
    <t>Tal i forhold til 2009</t>
  </si>
  <si>
    <t>Netto</t>
  </si>
  <si>
    <t>Pct./år</t>
  </si>
  <si>
    <t>Mekanisk energi</t>
  </si>
  <si>
    <t>Gen. Årlig Vækst</t>
  </si>
  <si>
    <t>Forudsætninger:</t>
  </si>
  <si>
    <t>Gennemsnitlig antal personer pr. bolig, stk.</t>
  </si>
  <si>
    <t>Andel af boliger som er enfamilieboliger</t>
  </si>
  <si>
    <t>Gennemsnitlig areal nye enfamilieboliger, m2</t>
  </si>
  <si>
    <t>Gennemsnitlig areal nye lejligheder, m2</t>
  </si>
  <si>
    <t>Resultater - boligarealer:</t>
  </si>
  <si>
    <t>Gennmsnitlig vækst</t>
  </si>
  <si>
    <t>Antal personer</t>
  </si>
  <si>
    <t>Energiramme i BR - tilført energi, kwh/m2</t>
  </si>
  <si>
    <t>Nettoforbrug, kwh/m2</t>
  </si>
  <si>
    <t>2011-15</t>
  </si>
  <si>
    <t>2016-20</t>
  </si>
  <si>
    <t>Netto, GJ/100 m2</t>
  </si>
  <si>
    <t>(Elforbrug skal fratrækkes, VE som indgår til opfyldes af energirammen skal tillægges - samlet + 10%)</t>
  </si>
  <si>
    <t>Faktor</t>
  </si>
  <si>
    <t>Faktor-el</t>
  </si>
  <si>
    <t>Faktor-ø</t>
  </si>
  <si>
    <t>Dette ark indeholder beregningsmodullerne for handel og service. Alle forudsætninger for beregningerne fremgår af de foregående ark.</t>
  </si>
  <si>
    <t>Dette ark indeholder beregningsmodullerne for produktionserhvervene. Alle forudsætninger for beregningerne fremgår af de foregående ark.</t>
  </si>
  <si>
    <t>Frozen:</t>
  </si>
  <si>
    <t xml:space="preserve">   Frozen</t>
  </si>
  <si>
    <t xml:space="preserve">    Frozen</t>
  </si>
  <si>
    <t>Boliger:</t>
  </si>
  <si>
    <t>Forbrug</t>
  </si>
  <si>
    <t>Besparelse</t>
  </si>
  <si>
    <t>Pct</t>
  </si>
  <si>
    <t>Kr./kWh</t>
  </si>
  <si>
    <t>Annuiserede omkostninger</t>
  </si>
  <si>
    <t>Total</t>
  </si>
  <si>
    <t>Mia. kr.</t>
  </si>
  <si>
    <t>Pr. enhed</t>
  </si>
  <si>
    <t>Opvarmning eksisternde bygninger</t>
  </si>
  <si>
    <t>Apparater:</t>
  </si>
  <si>
    <t>Elforbrug</t>
  </si>
  <si>
    <t>pct.</t>
  </si>
  <si>
    <t>Handel og service:</t>
  </si>
  <si>
    <t>Opvarmning eksisterende bygninger:</t>
  </si>
  <si>
    <t>Produktionserhverv:</t>
  </si>
  <si>
    <t>Brændsler:</t>
  </si>
  <si>
    <t>Elforbrug:</t>
  </si>
  <si>
    <t>Effektivisering i 2050</t>
  </si>
  <si>
    <t>Boliger</t>
  </si>
  <si>
    <t>Eks. bygn</t>
  </si>
  <si>
    <t>Appa</t>
  </si>
  <si>
    <t>Eks. byg</t>
  </si>
  <si>
    <t>Brændsel</t>
  </si>
  <si>
    <t>Produktionserhv</t>
  </si>
  <si>
    <t xml:space="preserve">Diff. ift. </t>
  </si>
  <si>
    <t>reference</t>
  </si>
  <si>
    <t>Nye bygninger:</t>
  </si>
  <si>
    <t>Electricitet</t>
  </si>
  <si>
    <t xml:space="preserve">   </t>
  </si>
  <si>
    <t>Omkostninger, mia. kr.</t>
  </si>
  <si>
    <t>Energibesparelse, PJ</t>
  </si>
  <si>
    <t>Omkostninger, Mio. kr./PJ</t>
  </si>
  <si>
    <t>Prod. øv</t>
  </si>
  <si>
    <t>Prod. el</t>
  </si>
  <si>
    <t>Andre forløb:</t>
  </si>
  <si>
    <t>Moderate</t>
  </si>
  <si>
    <t>Dette ark indeholder beregningsmodullerne for husholdninger. Alle forudsætninger (gule felter) for beregningerne fremgår af de foregående ark.</t>
  </si>
  <si>
    <t>Antal år</t>
  </si>
  <si>
    <t>Andre forløb</t>
  </si>
  <si>
    <t>H&amp;S</t>
  </si>
  <si>
    <t>Øvrig</t>
  </si>
  <si>
    <t>Kontor</t>
  </si>
  <si>
    <t>Konstant</t>
  </si>
  <si>
    <t>x-faktor</t>
  </si>
  <si>
    <t>X-faktor</t>
  </si>
  <si>
    <t>Udgifter erhverv (lineær)</t>
  </si>
  <si>
    <t>Udgifter apparater (expotentiel)</t>
  </si>
  <si>
    <t>Udgifter bygninger (Expotentiel)</t>
  </si>
  <si>
    <t>Befolkning, historisk og prognose</t>
  </si>
  <si>
    <t>Tal fra Danmarks Statistik - 1000 pers.</t>
  </si>
  <si>
    <t>Gennemsnitlig årlig vækst</t>
  </si>
  <si>
    <t>Beregningsår</t>
  </si>
  <si>
    <t>Udgangsår</t>
  </si>
  <si>
    <t>Pumper, varmt vand mv</t>
  </si>
  <si>
    <t>Kontor/handel</t>
  </si>
  <si>
    <t>Proces - øvrig</t>
  </si>
  <si>
    <t>Proes -el</t>
  </si>
  <si>
    <t>Elapparater</t>
  </si>
  <si>
    <t>kr./kWh</t>
  </si>
  <si>
    <t>Nettoforbrug 2011</t>
  </si>
  <si>
    <t xml:space="preserve">Energistyrelsen, </t>
  </si>
  <si>
    <t>Data kommer fra selvstændig regneark "Nettoforbrug 2011 april13"</t>
  </si>
  <si>
    <t>Ikke opdaterede med 2011-tal</t>
  </si>
  <si>
    <t>Nettovarmeforbrug 2011, PJ</t>
  </si>
  <si>
    <t>2011: Gennemsnitlig nettoforbrug, GJ/100 m2</t>
  </si>
  <si>
    <t>2011-2050</t>
  </si>
  <si>
    <t>1980-2011</t>
  </si>
  <si>
    <t>År</t>
  </si>
  <si>
    <t>Andel af eks. bygninger som er nedrevet</t>
  </si>
  <si>
    <t xml:space="preserve">  </t>
  </si>
  <si>
    <t>2011-2035</t>
  </si>
  <si>
    <t>Frem til</t>
  </si>
  <si>
    <t>BR15</t>
  </si>
  <si>
    <t>BR20</t>
  </si>
  <si>
    <t>kWh/m2</t>
  </si>
  <si>
    <t>tillæg</t>
  </si>
  <si>
    <t>Parcelhus</t>
  </si>
  <si>
    <t>Lejlighed</t>
  </si>
  <si>
    <t>m2:</t>
  </si>
  <si>
    <t>Grundforløb</t>
  </si>
  <si>
    <t>Alternativ - mere fjernvarme</t>
  </si>
  <si>
    <t>Energistyrelsen, PB, den 11. august 2013</t>
  </si>
  <si>
    <t>BR-krav:</t>
  </si>
  <si>
    <t>BR10</t>
  </si>
  <si>
    <t>Boliger mv.</t>
  </si>
  <si>
    <t>Antal boliger i alt, 1000 stik</t>
  </si>
  <si>
    <t>Enfamilieboliger:</t>
  </si>
  <si>
    <t xml:space="preserve">  Antal i alt, 1000 stik.</t>
  </si>
  <si>
    <t xml:space="preserve">  Areal ekisterende, mio. m2</t>
  </si>
  <si>
    <t xml:space="preserve">  Areal nye, mio. m2</t>
  </si>
  <si>
    <t>Etageboliger:</t>
  </si>
  <si>
    <t xml:space="preserve">  Areal i alt, mio. m2</t>
  </si>
  <si>
    <t>I alt areal, mio. m2</t>
  </si>
  <si>
    <t>Opvarmet areal, i alt</t>
  </si>
  <si>
    <t xml:space="preserve">        Enfamilie</t>
  </si>
  <si>
    <t xml:space="preserve">       Etage</t>
  </si>
  <si>
    <t>Opvarmet areal, mio. m2</t>
  </si>
  <si>
    <t>Nybyggeri efter 2011, mio. m2</t>
  </si>
  <si>
    <t>Tilvækst opvarmet areal ift 2011, mio. m2</t>
  </si>
  <si>
    <t>Gennemsnitlig nettoforbrug, GJ/100 m2:</t>
  </si>
  <si>
    <t>2012-2015</t>
  </si>
  <si>
    <t>2021-2035</t>
  </si>
  <si>
    <t>2036-2050</t>
  </si>
  <si>
    <t>Akk</t>
  </si>
  <si>
    <t>Mio. m2</t>
  </si>
  <si>
    <t>2012-15</t>
  </si>
  <si>
    <t>Tilslutning til fjernvarme</t>
  </si>
  <si>
    <t>Effektivisering</t>
  </si>
  <si>
    <t xml:space="preserve">Netto elforbrug </t>
  </si>
  <si>
    <t>Netto elforbrug</t>
  </si>
  <si>
    <t xml:space="preserve">Nettoforbrug </t>
  </si>
  <si>
    <t>Nettoforbrug 2035</t>
  </si>
  <si>
    <t>2035 Nettoforbrug</t>
  </si>
  <si>
    <t>2050 Nettoforbrug</t>
  </si>
  <si>
    <t>Effektivisering 2035</t>
  </si>
  <si>
    <t>Nettoenergiforbrug i 2035, PJ</t>
  </si>
  <si>
    <t xml:space="preserve">Effektivisering </t>
  </si>
  <si>
    <t>Enfamilie:</t>
  </si>
  <si>
    <t>Opvarmet areal, Mio. m2</t>
  </si>
  <si>
    <t>Tilvækst ift. 2011, mio. m2</t>
  </si>
  <si>
    <t>Nedrivning ift. 2011, mio. m2</t>
  </si>
  <si>
    <t>Nybyggeri efter 2011, mio., m2</t>
  </si>
  <si>
    <t>Etage:</t>
  </si>
  <si>
    <t>Nettovarmeforbrug, PJ:</t>
  </si>
  <si>
    <t>akk</t>
  </si>
  <si>
    <t>Akk.</t>
  </si>
  <si>
    <t>2021-50</t>
  </si>
  <si>
    <t>Eksisterende bygger</t>
  </si>
  <si>
    <t>Energistyrelsen, PB, den 13. august 2013</t>
  </si>
  <si>
    <t>energitjeneste</t>
  </si>
  <si>
    <t>2012-2035</t>
  </si>
  <si>
    <t>Kategorier i energistatistikken</t>
  </si>
  <si>
    <t>Engros- og detailhandel</t>
  </si>
  <si>
    <t>Produktionsværdier i faste priser</t>
  </si>
  <si>
    <t>Kilde:</t>
  </si>
  <si>
    <t>2011-35</t>
  </si>
  <si>
    <t>Forbrug, fcp</t>
  </si>
  <si>
    <t>Befolkning</t>
  </si>
  <si>
    <t>Antal i 1000 stk.</t>
  </si>
  <si>
    <t xml:space="preserve">  Antal ekisterende, 1000 stk</t>
  </si>
  <si>
    <t xml:space="preserve">  Antal nye, 1000 stk.</t>
  </si>
  <si>
    <t>Boliger/husstande:</t>
  </si>
  <si>
    <t>Kilde: Dst's befolkningsprognose</t>
  </si>
  <si>
    <t>Antal i alt - 1000 stk.</t>
  </si>
  <si>
    <t>Antal - 1000 stk.</t>
  </si>
  <si>
    <t>Areal, mio. m2</t>
  </si>
  <si>
    <t>Bygningsareal handel og service incl. den offentlige sektor</t>
  </si>
  <si>
    <t>Kilde: Odyssee database</t>
  </si>
  <si>
    <t>Areal i alt, mio. m2</t>
  </si>
  <si>
    <t>Energiforbrug i nye bygninger</t>
  </si>
  <si>
    <t>Forudsætninger boliger:</t>
  </si>
  <si>
    <t>Offentlig</t>
  </si>
  <si>
    <t>Priv. service</t>
  </si>
  <si>
    <t>Antal personer per bolig</t>
  </si>
  <si>
    <t>Gennemsnitlig areal nye boliger, m2</t>
  </si>
  <si>
    <t>Gen.snitlig tilvækst</t>
  </si>
  <si>
    <t>1985-2011</t>
  </si>
  <si>
    <t>Mio. m2/år</t>
  </si>
  <si>
    <t>2011-50</t>
  </si>
  <si>
    <t>Energitjeneste</t>
  </si>
  <si>
    <t>Årlig vækst %</t>
  </si>
  <si>
    <t>Energistyrelsen, PB, 20. august 2013</t>
  </si>
  <si>
    <t>2035-2050</t>
  </si>
  <si>
    <t>Energistyrelsen, PB, 22. august 2013</t>
  </si>
  <si>
    <t>Årlig effektivisering 2011-2035</t>
  </si>
  <si>
    <t>Årlig eff. 2035-2050</t>
  </si>
  <si>
    <t xml:space="preserve">Resulater - energi </t>
  </si>
  <si>
    <t>Indviduel</t>
  </si>
  <si>
    <t>NETTOFORBRUG I ALT</t>
  </si>
  <si>
    <t>NØDVENDIG ELFORBRUG</t>
  </si>
  <si>
    <t>Basisfremskrivning 2012</t>
  </si>
  <si>
    <t>Endelig</t>
  </si>
  <si>
    <t>årlig vækst</t>
  </si>
  <si>
    <t>år</t>
  </si>
  <si>
    <t>FM, KP13</t>
  </si>
  <si>
    <t>Gns</t>
  </si>
  <si>
    <t>Fordeling af elforbrug 2011</t>
  </si>
  <si>
    <t>Arealudvikling H&amp;S</t>
  </si>
  <si>
    <t>Nedrivning eks. bygn, 2011 - 2050, pct. af 2011</t>
  </si>
  <si>
    <t>ændret så den passer med Etjenoversigt</t>
  </si>
  <si>
    <t>Resultater - energi</t>
  </si>
  <si>
    <t>Individuel</t>
  </si>
  <si>
    <t xml:space="preserve">Transport </t>
  </si>
  <si>
    <t>Andel af økonomisk vækst, der bliver til vækst i e-tjensten</t>
  </si>
  <si>
    <t>Hentet fra E-tjen-forudsæt</t>
  </si>
  <si>
    <t>Vækst  Energitjeneste pct/år</t>
  </si>
  <si>
    <t>Vækst anvendt</t>
  </si>
  <si>
    <t>privatforbrug</t>
  </si>
  <si>
    <t>engros- og detailhandel</t>
  </si>
  <si>
    <t>fremstillingsvirksomhed</t>
  </si>
  <si>
    <t>privat forbrug</t>
  </si>
  <si>
    <t>Off. Service</t>
  </si>
  <si>
    <t>Off. service</t>
  </si>
  <si>
    <t xml:space="preserve">Energistyrelsen, PB, den 12. september 2013, </t>
  </si>
  <si>
    <t>Energistyrelsen, PB, den 12. september 2013</t>
  </si>
  <si>
    <t>nulpunkt</t>
  </si>
  <si>
    <t>PB, den 23. september 2013</t>
  </si>
  <si>
    <t>Omkostninger 2050</t>
  </si>
  <si>
    <t>Omkostninger 2035</t>
  </si>
  <si>
    <t>kr/kWh</t>
  </si>
  <si>
    <t>Diff</t>
  </si>
  <si>
    <t>Moderat store besparelse</t>
  </si>
  <si>
    <t>Moderat store</t>
  </si>
  <si>
    <t>Moderate store besparelser</t>
  </si>
  <si>
    <t>Moderat storebesparelse</t>
  </si>
  <si>
    <t>Bespar</t>
  </si>
  <si>
    <t>Handel&amp;service</t>
  </si>
  <si>
    <t>Husholdninger:</t>
  </si>
  <si>
    <t>Bygninger</t>
  </si>
  <si>
    <t>Meget store</t>
  </si>
  <si>
    <t>Apparater (eksempel)</t>
  </si>
  <si>
    <t>FORBRUGSMODEL 2013</t>
  </si>
  <si>
    <r>
      <t xml:space="preserve">Denne model kan bruges til at beregne udviklingen i </t>
    </r>
    <r>
      <rPr>
        <b/>
        <i/>
        <sz val="11"/>
        <color theme="1"/>
        <rFont val="Calibri"/>
        <family val="2"/>
        <scheme val="minor"/>
      </rPr>
      <t xml:space="preserve">nettoenergiforbruget </t>
    </r>
    <r>
      <rPr>
        <sz val="11"/>
        <color theme="1"/>
        <rFont val="Calibri"/>
        <family val="2"/>
        <scheme val="minor"/>
      </rPr>
      <t>frem til 2050</t>
    </r>
  </si>
  <si>
    <r>
      <t>Modellen tager udgangspunkt i nettoenergiforbruget i 2011 - det fremgår af regnearket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"2011"</t>
    </r>
  </si>
  <si>
    <t>Beregningen af nettoenergiforbruget i 2011 og fordelingen af dette på de forskellige kategoer sker i et selvstændigt regneark.</t>
  </si>
  <si>
    <t>Modellen fremskriver nettoenergiforbruget ud fra forudsætninger om udviklingen i de forskellige energitjenster,</t>
  </si>
  <si>
    <t>og forudsætninger om energieffektiviseringen inden for de tilsvarende områder</t>
  </si>
  <si>
    <t>Modellen er nærmere dokumenteret i i notatet "Dokumentation for forbrugsmodellen 2013"</t>
  </si>
  <si>
    <t>Alle de nødvendige forudsætninger for beregning af scenarier er samlet i de grønne regneark:</t>
  </si>
  <si>
    <t>- E-tjen-forudsæt</t>
  </si>
  <si>
    <t>- Øvr forudsæt</t>
  </si>
  <si>
    <t>- transport foruds.</t>
  </si>
  <si>
    <t>- Effektiviseringer</t>
  </si>
  <si>
    <t>Hvis der skal beregnes andre scenarier eller ændres i forudsætningerne skal der alene ændres i disse 4 regneark.</t>
  </si>
  <si>
    <t>Regnearket  "E-tjen-oversigt" indeholder en sammenfatning af udviklingen i energitjensterne.</t>
  </si>
  <si>
    <t>Alle resultaterne er samlet i de gule regneark:</t>
  </si>
  <si>
    <t>- Res energi 2035</t>
  </si>
  <si>
    <t>- Res energi 2050</t>
  </si>
  <si>
    <t>- Økonomi 2035</t>
  </si>
  <si>
    <t>- Økonomi 2050</t>
  </si>
  <si>
    <t>- Omkostninger</t>
  </si>
  <si>
    <t>Beregningerne sker i de røde regneark - dem er der ikke behov for at ændre i for at lave en ny beregning</t>
  </si>
  <si>
    <t>Andel af bygningers varmebehov som forsynes med fjernvarme</t>
  </si>
  <si>
    <t xml:space="preserve">Og normalt skal nogle af forudsætningerne kun ændres med års mellemrum, </t>
  </si>
  <si>
    <t>hvor andre kan ændres for at belyse ændringer i energisystemset.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</si>
</sst>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0.0"/>
    <numFmt numFmtId="165" formatCode="0.000"/>
    <numFmt numFmtId="166" formatCode="0.0%"/>
    <numFmt numFmtId="167" formatCode="_ * #,##0.0_ ;_ * \-#,##0.0_ ;_ * &quot;-&quot;??_ ;_ @_ "/>
    <numFmt numFmtId="168" formatCode="0_ ;\-0\ "/>
  </numFmts>
  <fonts count="4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7" fillId="0" borderId="0"/>
  </cellStyleXfs>
  <cellXfs count="111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5" fillId="0" borderId="0" xfId="0" applyFont="1" applyFill="1" applyBorder="1"/>
    <xf numFmtId="0" fontId="5" fillId="0" borderId="0" xfId="0" applyFont="1" applyFill="1"/>
    <xf numFmtId="0" fontId="0" fillId="0" borderId="0" xfId="0" applyFill="1"/>
    <xf numFmtId="0" fontId="3" fillId="0" borderId="1" xfId="0" applyFont="1" applyBorder="1"/>
    <xf numFmtId="0" fontId="0" fillId="0" borderId="4" xfId="0" applyBorder="1"/>
    <xf numFmtId="0" fontId="0" fillId="0" borderId="6" xfId="0" applyBorder="1"/>
    <xf numFmtId="0" fontId="0" fillId="0" borderId="0" xfId="0" applyFont="1" applyBorder="1"/>
    <xf numFmtId="9" fontId="0" fillId="0" borderId="5" xfId="1" applyFont="1" applyBorder="1"/>
    <xf numFmtId="9" fontId="0" fillId="0" borderId="0" xfId="1" applyFont="1" applyBorder="1"/>
    <xf numFmtId="0" fontId="3" fillId="0" borderId="0" xfId="0" applyFont="1" applyBorder="1"/>
    <xf numFmtId="0" fontId="0" fillId="0" borderId="0" xfId="0" applyBorder="1"/>
    <xf numFmtId="0" fontId="0" fillId="0" borderId="1" xfId="0" applyFont="1" applyBorder="1"/>
    <xf numFmtId="164" fontId="0" fillId="0" borderId="0" xfId="0" applyNumberFormat="1" applyFont="1" applyBorder="1"/>
    <xf numFmtId="0" fontId="0" fillId="0" borderId="0" xfId="0" applyFill="1" applyBorder="1"/>
    <xf numFmtId="164" fontId="0" fillId="0" borderId="1" xfId="0" applyNumberFormat="1" applyFont="1" applyBorder="1"/>
    <xf numFmtId="164" fontId="0" fillId="2" borderId="0" xfId="0" applyNumberFormat="1" applyFont="1" applyFill="1" applyBorder="1"/>
    <xf numFmtId="0" fontId="4" fillId="0" borderId="2" xfId="0" applyFont="1" applyBorder="1"/>
    <xf numFmtId="0" fontId="0" fillId="0" borderId="8" xfId="0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9" xfId="0" applyFont="1" applyBorder="1"/>
    <xf numFmtId="0" fontId="3" fillId="0" borderId="9" xfId="0" applyFont="1" applyBorder="1"/>
    <xf numFmtId="0" fontId="0" fillId="0" borderId="4" xfId="0" applyFont="1" applyBorder="1"/>
    <xf numFmtId="0" fontId="0" fillId="0" borderId="10" xfId="0" applyBorder="1"/>
    <xf numFmtId="0" fontId="3" fillId="0" borderId="6" xfId="0" applyFont="1" applyBorder="1"/>
    <xf numFmtId="0" fontId="0" fillId="0" borderId="11" xfId="0" applyBorder="1"/>
    <xf numFmtId="0" fontId="0" fillId="0" borderId="7" xfId="0" applyBorder="1"/>
    <xf numFmtId="0" fontId="3" fillId="0" borderId="10" xfId="0" applyFont="1" applyBorder="1"/>
    <xf numFmtId="164" fontId="0" fillId="0" borderId="5" xfId="0" applyNumberFormat="1" applyFont="1" applyBorder="1"/>
    <xf numFmtId="0" fontId="0" fillId="0" borderId="6" xfId="0" applyFill="1" applyBorder="1"/>
    <xf numFmtId="164" fontId="0" fillId="0" borderId="11" xfId="0" applyNumberFormat="1" applyFont="1" applyBorder="1"/>
    <xf numFmtId="164" fontId="0" fillId="0" borderId="7" xfId="0" applyNumberFormat="1" applyFont="1" applyBorder="1"/>
    <xf numFmtId="2" fontId="0" fillId="0" borderId="0" xfId="0" applyNumberFormat="1" applyBorder="1"/>
    <xf numFmtId="2" fontId="0" fillId="0" borderId="1" xfId="0" applyNumberFormat="1" applyBorder="1"/>
    <xf numFmtId="164" fontId="0" fillId="0" borderId="0" xfId="0" applyNumberFormat="1" applyBorder="1"/>
    <xf numFmtId="2" fontId="0" fillId="0" borderId="5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7" xfId="0" applyNumberFormat="1" applyBorder="1"/>
    <xf numFmtId="0" fontId="0" fillId="0" borderId="10" xfId="0" applyBorder="1" applyAlignment="1">
      <alignment horizontal="right"/>
    </xf>
    <xf numFmtId="0" fontId="4" fillId="0" borderId="2" xfId="0" applyFont="1" applyFill="1" applyBorder="1"/>
    <xf numFmtId="164" fontId="0" fillId="0" borderId="8" xfId="0" applyNumberFormat="1" applyFont="1" applyBorder="1"/>
    <xf numFmtId="164" fontId="0" fillId="0" borderId="3" xfId="0" applyNumberFormat="1" applyFont="1" applyBorder="1"/>
    <xf numFmtId="0" fontId="0" fillId="0" borderId="4" xfId="0" applyFill="1" applyBorder="1"/>
    <xf numFmtId="0" fontId="0" fillId="0" borderId="4" xfId="0" quotePrefix="1" applyFill="1" applyBorder="1"/>
    <xf numFmtId="0" fontId="0" fillId="0" borderId="6" xfId="0" quotePrefix="1" applyFill="1" applyBorder="1"/>
    <xf numFmtId="0" fontId="0" fillId="0" borderId="9" xfId="0" applyFill="1" applyBorder="1"/>
    <xf numFmtId="164" fontId="0" fillId="0" borderId="10" xfId="0" applyNumberFormat="1" applyFont="1" applyBorder="1"/>
    <xf numFmtId="164" fontId="0" fillId="0" borderId="0" xfId="0" applyNumberFormat="1"/>
    <xf numFmtId="164" fontId="0" fillId="2" borderId="0" xfId="0" applyNumberFormat="1" applyFill="1" applyBorder="1"/>
    <xf numFmtId="164" fontId="0" fillId="2" borderId="1" xfId="0" applyNumberFormat="1" applyFill="1" applyBorder="1"/>
    <xf numFmtId="0" fontId="3" fillId="0" borderId="2" xfId="0" applyFont="1" applyBorder="1"/>
    <xf numFmtId="9" fontId="0" fillId="0" borderId="11" xfId="1" applyFont="1" applyBorder="1"/>
    <xf numFmtId="0" fontId="3" fillId="0" borderId="4" xfId="0" applyFont="1" applyFill="1" applyBorder="1"/>
    <xf numFmtId="0" fontId="5" fillId="0" borderId="0" xfId="0" quotePrefix="1" applyFont="1" applyFill="1" applyBorder="1"/>
    <xf numFmtId="0" fontId="0" fillId="0" borderId="1" xfId="0" applyBorder="1" applyAlignment="1">
      <alignment horizontal="center"/>
    </xf>
    <xf numFmtId="2" fontId="5" fillId="0" borderId="0" xfId="0" applyNumberFormat="1" applyFont="1" applyFill="1" applyBorder="1"/>
    <xf numFmtId="0" fontId="0" fillId="0" borderId="12" xfId="0" applyBorder="1"/>
    <xf numFmtId="0" fontId="3" fillId="0" borderId="13" xfId="0" applyFont="1" applyBorder="1" applyAlignment="1">
      <alignment horizontal="center"/>
    </xf>
    <xf numFmtId="9" fontId="0" fillId="0" borderId="12" xfId="0" applyNumberFormat="1" applyBorder="1"/>
    <xf numFmtId="9" fontId="5" fillId="0" borderId="12" xfId="0" applyNumberFormat="1" applyFont="1" applyFill="1" applyBorder="1"/>
    <xf numFmtId="10" fontId="5" fillId="0" borderId="12" xfId="0" applyNumberFormat="1" applyFont="1" applyFill="1" applyBorder="1"/>
    <xf numFmtId="0" fontId="0" fillId="0" borderId="13" xfId="0" applyBorder="1"/>
    <xf numFmtId="9" fontId="0" fillId="0" borderId="12" xfId="1" applyFont="1" applyBorder="1"/>
    <xf numFmtId="2" fontId="0" fillId="0" borderId="12" xfId="0" applyNumberFormat="1" applyBorder="1"/>
    <xf numFmtId="0" fontId="2" fillId="0" borderId="2" xfId="0" applyFont="1" applyFill="1" applyBorder="1"/>
    <xf numFmtId="0" fontId="3" fillId="0" borderId="8" xfId="0" applyFont="1" applyBorder="1"/>
    <xf numFmtId="0" fontId="4" fillId="0" borderId="4" xfId="0" applyFont="1" applyBorder="1"/>
    <xf numFmtId="0" fontId="8" fillId="0" borderId="4" xfId="0" quotePrefix="1" applyFont="1" applyFill="1" applyBorder="1"/>
    <xf numFmtId="0" fontId="8" fillId="0" borderId="6" xfId="0" quotePrefix="1" applyFont="1" applyFill="1" applyBorder="1"/>
    <xf numFmtId="2" fontId="5" fillId="0" borderId="11" xfId="0" applyNumberFormat="1" applyFont="1" applyFill="1" applyBorder="1"/>
    <xf numFmtId="9" fontId="0" fillId="0" borderId="14" xfId="1" applyFont="1" applyBorder="1"/>
    <xf numFmtId="2" fontId="0" fillId="0" borderId="14" xfId="0" applyNumberFormat="1" applyBorder="1"/>
    <xf numFmtId="0" fontId="10" fillId="0" borderId="2" xfId="0" applyFont="1" applyFill="1" applyBorder="1"/>
    <xf numFmtId="0" fontId="9" fillId="0" borderId="4" xfId="0" applyFont="1" applyFill="1" applyBorder="1"/>
    <xf numFmtId="0" fontId="0" fillId="0" borderId="5" xfId="0" applyFill="1" applyBorder="1"/>
    <xf numFmtId="0" fontId="0" fillId="0" borderId="3" xfId="0" applyFill="1" applyBorder="1"/>
    <xf numFmtId="9" fontId="0" fillId="0" borderId="5" xfId="1" applyFont="1" applyFill="1" applyBorder="1"/>
    <xf numFmtId="9" fontId="0" fillId="0" borderId="7" xfId="1" applyFont="1" applyFill="1" applyBorder="1"/>
    <xf numFmtId="0" fontId="0" fillId="0" borderId="12" xfId="0" applyFont="1" applyBorder="1"/>
    <xf numFmtId="10" fontId="0" fillId="0" borderId="12" xfId="0" applyNumberFormat="1" applyBorder="1"/>
    <xf numFmtId="0" fontId="0" fillId="0" borderId="15" xfId="0" applyFont="1" applyBorder="1"/>
    <xf numFmtId="0" fontId="0" fillId="0" borderId="16" xfId="0" applyFont="1" applyBorder="1" applyAlignment="1">
      <alignment horizontal="center"/>
    </xf>
    <xf numFmtId="0" fontId="0" fillId="0" borderId="15" xfId="0" applyBorder="1"/>
    <xf numFmtId="2" fontId="0" fillId="0" borderId="15" xfId="0" applyNumberFormat="1" applyBorder="1"/>
    <xf numFmtId="0" fontId="11" fillId="0" borderId="4" xfId="0" applyFont="1" applyFill="1" applyBorder="1"/>
    <xf numFmtId="0" fontId="11" fillId="0" borderId="9" xfId="0" applyFont="1" applyFill="1" applyBorder="1"/>
    <xf numFmtId="0" fontId="11" fillId="0" borderId="6" xfId="0" applyFont="1" applyFill="1" applyBorder="1"/>
    <xf numFmtId="2" fontId="0" fillId="0" borderId="19" xfId="0" applyNumberFormat="1" applyBorder="1"/>
    <xf numFmtId="0" fontId="11" fillId="0" borderId="0" xfId="0" applyFont="1" applyFill="1" applyBorder="1"/>
    <xf numFmtId="10" fontId="0" fillId="0" borderId="0" xfId="0" applyNumberFormat="1" applyBorder="1"/>
    <xf numFmtId="0" fontId="1" fillId="0" borderId="4" xfId="0" quotePrefix="1" applyFont="1" applyFill="1" applyBorder="1"/>
    <xf numFmtId="0" fontId="1" fillId="0" borderId="6" xfId="0" quotePrefix="1" applyFont="1" applyFill="1" applyBorder="1"/>
    <xf numFmtId="164" fontId="0" fillId="0" borderId="11" xfId="0" applyNumberFormat="1" applyBorder="1"/>
    <xf numFmtId="0" fontId="7" fillId="0" borderId="1" xfId="0" applyFont="1" applyBorder="1"/>
    <xf numFmtId="0" fontId="7" fillId="0" borderId="10" xfId="0" applyFont="1" applyBorder="1"/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0" fillId="0" borderId="1" xfId="1" applyFont="1" applyBorder="1"/>
    <xf numFmtId="10" fontId="0" fillId="0" borderId="1" xfId="1" applyNumberFormat="1" applyFont="1" applyBorder="1"/>
    <xf numFmtId="0" fontId="0" fillId="0" borderId="9" xfId="0" quotePrefix="1" applyFill="1" applyBorder="1"/>
    <xf numFmtId="164" fontId="0" fillId="2" borderId="1" xfId="0" applyNumberFormat="1" applyFont="1" applyFill="1" applyBorder="1"/>
    <xf numFmtId="9" fontId="0" fillId="0" borderId="0" xfId="1" applyFont="1" applyFill="1" applyBorder="1"/>
    <xf numFmtId="0" fontId="0" fillId="0" borderId="9" xfId="0" applyBorder="1"/>
    <xf numFmtId="0" fontId="0" fillId="0" borderId="15" xfId="0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0" fontId="13" fillId="0" borderId="0" xfId="0" applyFont="1"/>
    <xf numFmtId="0" fontId="11" fillId="0" borderId="1" xfId="0" applyFont="1" applyFill="1" applyBorder="1"/>
    <xf numFmtId="0" fontId="0" fillId="0" borderId="2" xfId="0" applyBorder="1"/>
    <xf numFmtId="10" fontId="0" fillId="0" borderId="0" xfId="1" applyNumberFormat="1" applyFont="1" applyBorder="1"/>
    <xf numFmtId="0" fontId="13" fillId="0" borderId="0" xfId="0" applyFont="1" applyBorder="1"/>
    <xf numFmtId="0" fontId="13" fillId="0" borderId="1" xfId="0" applyFont="1" applyBorder="1"/>
    <xf numFmtId="9" fontId="0" fillId="0" borderId="10" xfId="1" applyFont="1" applyBorder="1"/>
    <xf numFmtId="0" fontId="0" fillId="2" borderId="2" xfId="0" applyFill="1" applyBorder="1"/>
    <xf numFmtId="0" fontId="0" fillId="2" borderId="9" xfId="0" applyFill="1" applyBorder="1"/>
    <xf numFmtId="2" fontId="0" fillId="0" borderId="0" xfId="0" applyNumberFormat="1" applyFill="1" applyBorder="1"/>
    <xf numFmtId="0" fontId="0" fillId="2" borderId="6" xfId="0" applyFill="1" applyBorder="1"/>
    <xf numFmtId="0" fontId="0" fillId="3" borderId="0" xfId="0" applyFill="1" applyBorder="1"/>
    <xf numFmtId="2" fontId="0" fillId="0" borderId="16" xfId="0" applyNumberFormat="1" applyBorder="1"/>
    <xf numFmtId="0" fontId="0" fillId="0" borderId="16" xfId="0" applyBorder="1"/>
    <xf numFmtId="10" fontId="0" fillId="0" borderId="0" xfId="1" applyNumberFormat="1" applyFont="1" applyFill="1" applyBorder="1"/>
    <xf numFmtId="0" fontId="0" fillId="2" borderId="4" xfId="0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0" borderId="6" xfId="0" applyFont="1" applyBorder="1"/>
    <xf numFmtId="0" fontId="3" fillId="0" borderId="10" xfId="0" applyFont="1" applyBorder="1" applyAlignment="1">
      <alignment horizontal="center"/>
    </xf>
    <xf numFmtId="10" fontId="0" fillId="0" borderId="5" xfId="0" applyNumberFormat="1" applyBorder="1"/>
    <xf numFmtId="10" fontId="0" fillId="0" borderId="7" xfId="0" applyNumberFormat="1" applyBorder="1"/>
    <xf numFmtId="10" fontId="0" fillId="0" borderId="11" xfId="1" applyNumberFormat="1" applyFont="1" applyBorder="1"/>
    <xf numFmtId="0" fontId="0" fillId="0" borderId="23" xfId="0" applyBorder="1"/>
    <xf numFmtId="0" fontId="0" fillId="0" borderId="24" xfId="0" applyBorder="1"/>
    <xf numFmtId="164" fontId="0" fillId="0" borderId="5" xfId="0" applyNumberFormat="1" applyBorder="1"/>
    <xf numFmtId="164" fontId="0" fillId="0" borderId="10" xfId="0" applyNumberFormat="1" applyBorder="1"/>
    <xf numFmtId="0" fontId="3" fillId="0" borderId="5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13" fillId="0" borderId="11" xfId="0" applyFont="1" applyBorder="1"/>
    <xf numFmtId="0" fontId="11" fillId="0" borderId="11" xfId="0" applyFont="1" applyFill="1" applyBorder="1"/>
    <xf numFmtId="0" fontId="3" fillId="0" borderId="0" xfId="0" applyFont="1" applyFill="1"/>
    <xf numFmtId="0" fontId="15" fillId="2" borderId="12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right"/>
    </xf>
    <xf numFmtId="0" fontId="15" fillId="2" borderId="15" xfId="0" applyFont="1" applyFill="1" applyBorder="1" applyAlignment="1">
      <alignment horizontal="right"/>
    </xf>
    <xf numFmtId="0" fontId="15" fillId="2" borderId="13" xfId="0" applyFont="1" applyFill="1" applyBorder="1"/>
    <xf numFmtId="0" fontId="15" fillId="2" borderId="1" xfId="0" applyFont="1" applyFill="1" applyBorder="1"/>
    <xf numFmtId="0" fontId="15" fillId="2" borderId="16" xfId="0" applyFont="1" applyFill="1" applyBorder="1"/>
    <xf numFmtId="2" fontId="1" fillId="0" borderId="0" xfId="0" applyNumberFormat="1" applyFont="1" applyFill="1" applyBorder="1"/>
    <xf numFmtId="0" fontId="1" fillId="2" borderId="13" xfId="0" applyFont="1" applyFill="1" applyBorder="1"/>
    <xf numFmtId="10" fontId="0" fillId="0" borderId="10" xfId="0" applyNumberFormat="1" applyBorder="1"/>
    <xf numFmtId="2" fontId="1" fillId="0" borderId="1" xfId="0" applyNumberFormat="1" applyFont="1" applyFill="1" applyBorder="1"/>
    <xf numFmtId="0" fontId="12" fillId="0" borderId="2" xfId="0" applyFont="1" applyFill="1" applyBorder="1"/>
    <xf numFmtId="0" fontId="0" fillId="0" borderId="8" xfId="0" applyFill="1" applyBorder="1"/>
    <xf numFmtId="0" fontId="3" fillId="0" borderId="1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/>
    <xf numFmtId="0" fontId="0" fillId="0" borderId="12" xfId="0" applyFill="1" applyBorder="1"/>
    <xf numFmtId="0" fontId="3" fillId="0" borderId="1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3" xfId="0" applyFill="1" applyBorder="1"/>
    <xf numFmtId="0" fontId="0" fillId="0" borderId="10" xfId="0" applyFill="1" applyBorder="1"/>
    <xf numFmtId="2" fontId="0" fillId="0" borderId="0" xfId="0" applyNumberFormat="1" applyFont="1" applyFill="1" applyBorder="1" applyAlignment="1">
      <alignment horizontal="right"/>
    </xf>
    <xf numFmtId="10" fontId="0" fillId="0" borderId="12" xfId="0" applyNumberFormat="1" applyFill="1" applyBorder="1"/>
    <xf numFmtId="2" fontId="0" fillId="0" borderId="12" xfId="0" applyNumberFormat="1" applyFill="1" applyBorder="1"/>
    <xf numFmtId="2" fontId="0" fillId="0" borderId="5" xfId="0" applyNumberFormat="1" applyFill="1" applyBorder="1"/>
    <xf numFmtId="2" fontId="0" fillId="0" borderId="0" xfId="0" applyNumberFormat="1" applyFill="1" applyBorder="1" applyAlignment="1">
      <alignment horizontal="right"/>
    </xf>
    <xf numFmtId="0" fontId="3" fillId="0" borderId="6" xfId="0" applyFont="1" applyFill="1" applyBorder="1"/>
    <xf numFmtId="0" fontId="3" fillId="0" borderId="14" xfId="0" applyFont="1" applyFill="1" applyBorder="1"/>
    <xf numFmtId="2" fontId="3" fillId="0" borderId="11" xfId="0" applyNumberFormat="1" applyFont="1" applyFill="1" applyBorder="1"/>
    <xf numFmtId="0" fontId="3" fillId="0" borderId="11" xfId="0" applyFont="1" applyFill="1" applyBorder="1"/>
    <xf numFmtId="2" fontId="3" fillId="0" borderId="14" xfId="0" applyNumberFormat="1" applyFont="1" applyFill="1" applyBorder="1"/>
    <xf numFmtId="2" fontId="3" fillId="0" borderId="7" xfId="0" applyNumberFormat="1" applyFont="1" applyFill="1" applyBorder="1"/>
    <xf numFmtId="0" fontId="3" fillId="4" borderId="2" xfId="0" applyFont="1" applyFill="1" applyBorder="1"/>
    <xf numFmtId="0" fontId="3" fillId="4" borderId="9" xfId="0" applyFont="1" applyFill="1" applyBorder="1"/>
    <xf numFmtId="0" fontId="0" fillId="4" borderId="1" xfId="0" applyFill="1" applyBorder="1"/>
    <xf numFmtId="0" fontId="1" fillId="4" borderId="4" xfId="0" applyFont="1" applyFill="1" applyBorder="1"/>
    <xf numFmtId="0" fontId="0" fillId="4" borderId="0" xfId="0" applyFill="1" applyBorder="1"/>
    <xf numFmtId="0" fontId="1" fillId="4" borderId="0" xfId="0" applyFont="1" applyFill="1" applyBorder="1"/>
    <xf numFmtId="2" fontId="0" fillId="4" borderId="0" xfId="0" applyNumberFormat="1" applyFill="1" applyBorder="1"/>
    <xf numFmtId="164" fontId="0" fillId="4" borderId="0" xfId="0" applyNumberFormat="1" applyFill="1" applyBorder="1"/>
    <xf numFmtId="2" fontId="0" fillId="4" borderId="5" xfId="0" applyNumberFormat="1" applyFill="1" applyBorder="1"/>
    <xf numFmtId="0" fontId="0" fillId="4" borderId="4" xfId="0" applyFill="1" applyBorder="1"/>
    <xf numFmtId="0" fontId="0" fillId="4" borderId="9" xfId="0" applyFill="1" applyBorder="1"/>
    <xf numFmtId="0" fontId="1" fillId="4" borderId="1" xfId="0" applyFont="1" applyFill="1" applyBorder="1"/>
    <xf numFmtId="2" fontId="0" fillId="4" borderId="1" xfId="0" applyNumberFormat="1" applyFill="1" applyBorder="1"/>
    <xf numFmtId="164" fontId="0" fillId="4" borderId="1" xfId="0" applyNumberFormat="1" applyFill="1" applyBorder="1"/>
    <xf numFmtId="2" fontId="0" fillId="4" borderId="10" xfId="0" applyNumberFormat="1" applyFill="1" applyBorder="1"/>
    <xf numFmtId="0" fontId="1" fillId="4" borderId="4" xfId="0" quotePrefix="1" applyFont="1" applyFill="1" applyBorder="1"/>
    <xf numFmtId="0" fontId="1" fillId="4" borderId="6" xfId="0" quotePrefix="1" applyFont="1" applyFill="1" applyBorder="1"/>
    <xf numFmtId="0" fontId="0" fillId="4" borderId="11" xfId="0" applyFill="1" applyBorder="1"/>
    <xf numFmtId="0" fontId="1" fillId="4" borderId="11" xfId="0" applyFont="1" applyFill="1" applyBorder="1"/>
    <xf numFmtId="2" fontId="0" fillId="4" borderId="11" xfId="0" applyNumberFormat="1" applyFill="1" applyBorder="1"/>
    <xf numFmtId="2" fontId="0" fillId="4" borderId="7" xfId="0" applyNumberFormat="1" applyFill="1" applyBorder="1"/>
    <xf numFmtId="0" fontId="3" fillId="4" borderId="12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4" borderId="12" xfId="0" applyFill="1" applyBorder="1"/>
    <xf numFmtId="0" fontId="0" fillId="4" borderId="5" xfId="0" applyFill="1" applyBorder="1"/>
    <xf numFmtId="0" fontId="0" fillId="4" borderId="13" xfId="0" applyFill="1" applyBorder="1"/>
    <xf numFmtId="0" fontId="0" fillId="4" borderId="10" xfId="0" applyFill="1" applyBorder="1"/>
    <xf numFmtId="2" fontId="3" fillId="4" borderId="12" xfId="0" applyNumberFormat="1" applyFont="1" applyFill="1" applyBorder="1"/>
    <xf numFmtId="2" fontId="3" fillId="4" borderId="0" xfId="0" applyNumberFormat="1" applyFont="1" applyFill="1" applyBorder="1"/>
    <xf numFmtId="2" fontId="3" fillId="4" borderId="5" xfId="0" applyNumberFormat="1" applyFont="1" applyFill="1" applyBorder="1"/>
    <xf numFmtId="0" fontId="5" fillId="4" borderId="8" xfId="0" applyFont="1" applyFill="1" applyBorder="1"/>
    <xf numFmtId="0" fontId="9" fillId="4" borderId="1" xfId="0" applyFont="1" applyFill="1" applyBorder="1" applyAlignment="1">
      <alignment horizontal="center"/>
    </xf>
    <xf numFmtId="43" fontId="0" fillId="0" borderId="0" xfId="2" applyFont="1" applyFill="1" applyBorder="1"/>
    <xf numFmtId="43" fontId="0" fillId="0" borderId="1" xfId="2" applyFont="1" applyFill="1" applyBorder="1"/>
    <xf numFmtId="43" fontId="0" fillId="0" borderId="1" xfId="2" applyFont="1" applyBorder="1"/>
    <xf numFmtId="0" fontId="2" fillId="0" borderId="2" xfId="0" applyFont="1" applyBorder="1"/>
    <xf numFmtId="0" fontId="15" fillId="2" borderId="5" xfId="0" applyFont="1" applyFill="1" applyBorder="1" applyAlignment="1">
      <alignment horizontal="right"/>
    </xf>
    <xf numFmtId="0" fontId="15" fillId="2" borderId="10" xfId="0" applyFont="1" applyFill="1" applyBorder="1"/>
    <xf numFmtId="0" fontId="3" fillId="2" borderId="4" xfId="0" applyFont="1" applyFill="1" applyBorder="1"/>
    <xf numFmtId="43" fontId="0" fillId="0" borderId="0" xfId="2" applyFont="1" applyBorder="1"/>
    <xf numFmtId="10" fontId="0" fillId="5" borderId="12" xfId="0" applyNumberFormat="1" applyFill="1" applyBorder="1"/>
    <xf numFmtId="0" fontId="0" fillId="2" borderId="10" xfId="0" applyFill="1" applyBorder="1"/>
    <xf numFmtId="2" fontId="1" fillId="0" borderId="13" xfId="0" applyNumberFormat="1" applyFont="1" applyFill="1" applyBorder="1"/>
    <xf numFmtId="2" fontId="1" fillId="0" borderId="12" xfId="0" applyNumberFormat="1" applyFont="1" applyFill="1" applyBorder="1"/>
    <xf numFmtId="0" fontId="0" fillId="6" borderId="2" xfId="0" applyFill="1" applyBorder="1"/>
    <xf numFmtId="0" fontId="1" fillId="6" borderId="21" xfId="0" applyFont="1" applyFill="1" applyBorder="1"/>
    <xf numFmtId="0" fontId="1" fillId="6" borderId="8" xfId="0" applyFont="1" applyFill="1" applyBorder="1"/>
    <xf numFmtId="0" fontId="0" fillId="6" borderId="8" xfId="0" applyFill="1" applyBorder="1"/>
    <xf numFmtId="0" fontId="0" fillId="6" borderId="4" xfId="0" applyFill="1" applyBorder="1"/>
    <xf numFmtId="0" fontId="1" fillId="6" borderId="12" xfId="0" applyFont="1" applyFill="1" applyBorder="1"/>
    <xf numFmtId="0" fontId="1" fillId="6" borderId="0" xfId="0" applyFont="1" applyFill="1" applyBorder="1"/>
    <xf numFmtId="0" fontId="15" fillId="6" borderId="12" xfId="0" applyFont="1" applyFill="1" applyBorder="1" applyAlignment="1">
      <alignment horizontal="right"/>
    </xf>
    <xf numFmtId="0" fontId="15" fillId="6" borderId="0" xfId="0" applyFont="1" applyFill="1" applyBorder="1" applyAlignment="1">
      <alignment horizontal="right"/>
    </xf>
    <xf numFmtId="0" fontId="0" fillId="6" borderId="0" xfId="0" applyFill="1" applyBorder="1"/>
    <xf numFmtId="0" fontId="0" fillId="6" borderId="9" xfId="0" applyFill="1" applyBorder="1"/>
    <xf numFmtId="0" fontId="1" fillId="6" borderId="13" xfId="0" applyFont="1" applyFill="1" applyBorder="1"/>
    <xf numFmtId="0" fontId="1" fillId="6" borderId="1" xfId="0" applyFont="1" applyFill="1" applyBorder="1"/>
    <xf numFmtId="0" fontId="15" fillId="6" borderId="13" xfId="0" applyFont="1" applyFill="1" applyBorder="1"/>
    <xf numFmtId="0" fontId="15" fillId="6" borderId="1" xfId="0" applyFont="1" applyFill="1" applyBorder="1"/>
    <xf numFmtId="0" fontId="0" fillId="6" borderId="1" xfId="0" applyFill="1" applyBorder="1"/>
    <xf numFmtId="0" fontId="0" fillId="6" borderId="6" xfId="0" applyFill="1" applyBorder="1"/>
    <xf numFmtId="2" fontId="0" fillId="6" borderId="11" xfId="0" applyNumberFormat="1" applyFill="1" applyBorder="1"/>
    <xf numFmtId="2" fontId="0" fillId="6" borderId="14" xfId="0" applyNumberFormat="1" applyFill="1" applyBorder="1"/>
    <xf numFmtId="0" fontId="3" fillId="6" borderId="2" xfId="0" applyFont="1" applyFill="1" applyBorder="1"/>
    <xf numFmtId="0" fontId="3" fillId="6" borderId="9" xfId="0" applyFont="1" applyFill="1" applyBorder="1"/>
    <xf numFmtId="0" fontId="0" fillId="6" borderId="4" xfId="0" applyFont="1" applyFill="1" applyBorder="1"/>
    <xf numFmtId="10" fontId="0" fillId="6" borderId="5" xfId="0" applyNumberFormat="1" applyFill="1" applyBorder="1"/>
    <xf numFmtId="0" fontId="0" fillId="6" borderId="6" xfId="0" applyFont="1" applyFill="1" applyBorder="1"/>
    <xf numFmtId="10" fontId="0" fillId="6" borderId="7" xfId="0" applyNumberFormat="1" applyFill="1" applyBorder="1"/>
    <xf numFmtId="0" fontId="1" fillId="2" borderId="18" xfId="0" applyFont="1" applyFill="1" applyBorder="1"/>
    <xf numFmtId="0" fontId="15" fillId="6" borderId="4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164" fontId="0" fillId="6" borderId="4" xfId="0" applyNumberFormat="1" applyFont="1" applyFill="1" applyBorder="1"/>
    <xf numFmtId="164" fontId="0" fillId="6" borderId="12" xfId="0" applyNumberFormat="1" applyFont="1" applyFill="1" applyBorder="1"/>
    <xf numFmtId="10" fontId="0" fillId="6" borderId="0" xfId="1" applyNumberFormat="1" applyFont="1" applyFill="1" applyBorder="1"/>
    <xf numFmtId="164" fontId="0" fillId="6" borderId="9" xfId="0" applyNumberFormat="1" applyFill="1" applyBorder="1"/>
    <xf numFmtId="164" fontId="15" fillId="6" borderId="13" xfId="0" applyNumberFormat="1" applyFont="1" applyFill="1" applyBorder="1"/>
    <xf numFmtId="164" fontId="0" fillId="6" borderId="13" xfId="0" applyNumberFormat="1" applyFill="1" applyBorder="1"/>
    <xf numFmtId="164" fontId="0" fillId="6" borderId="6" xfId="0" applyNumberFormat="1" applyFont="1" applyFill="1" applyBorder="1"/>
    <xf numFmtId="164" fontId="0" fillId="6" borderId="14" xfId="0" applyNumberFormat="1" applyFont="1" applyFill="1" applyBorder="1"/>
    <xf numFmtId="10" fontId="0" fillId="6" borderId="11" xfId="1" applyNumberFormat="1" applyFont="1" applyFill="1" applyBorder="1"/>
    <xf numFmtId="0" fontId="15" fillId="7" borderId="4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0" fillId="7" borderId="13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/>
    </xf>
    <xf numFmtId="164" fontId="0" fillId="7" borderId="4" xfId="0" applyNumberFormat="1" applyFont="1" applyFill="1" applyBorder="1"/>
    <xf numFmtId="164" fontId="0" fillId="7" borderId="12" xfId="0" applyNumberFormat="1" applyFont="1" applyFill="1" applyBorder="1"/>
    <xf numFmtId="10" fontId="0" fillId="7" borderId="0" xfId="1" applyNumberFormat="1" applyFont="1" applyFill="1" applyBorder="1"/>
    <xf numFmtId="10" fontId="0" fillId="7" borderId="5" xfId="1" applyNumberFormat="1" applyFont="1" applyFill="1" applyBorder="1"/>
    <xf numFmtId="164" fontId="0" fillId="7" borderId="9" xfId="0" applyNumberFormat="1" applyFill="1" applyBorder="1"/>
    <xf numFmtId="164" fontId="0" fillId="7" borderId="13" xfId="0" applyNumberFormat="1" applyFill="1" applyBorder="1"/>
    <xf numFmtId="0" fontId="0" fillId="7" borderId="1" xfId="0" applyFill="1" applyBorder="1"/>
    <xf numFmtId="0" fontId="0" fillId="7" borderId="10" xfId="0" applyFill="1" applyBorder="1"/>
    <xf numFmtId="164" fontId="0" fillId="7" borderId="6" xfId="0" applyNumberFormat="1" applyFont="1" applyFill="1" applyBorder="1"/>
    <xf numFmtId="164" fontId="0" fillId="7" borderId="14" xfId="0" applyNumberFormat="1" applyFont="1" applyFill="1" applyBorder="1"/>
    <xf numFmtId="10" fontId="0" fillId="7" borderId="11" xfId="1" applyNumberFormat="1" applyFont="1" applyFill="1" applyBorder="1"/>
    <xf numFmtId="10" fontId="0" fillId="7" borderId="7" xfId="1" applyNumberFormat="1" applyFont="1" applyFill="1" applyBorder="1"/>
    <xf numFmtId="0" fontId="14" fillId="0" borderId="0" xfId="0" applyFont="1" applyBorder="1" applyAlignment="1">
      <alignment horizontal="center"/>
    </xf>
    <xf numFmtId="0" fontId="0" fillId="0" borderId="25" xfId="0" applyBorder="1"/>
    <xf numFmtId="0" fontId="1" fillId="6" borderId="27" xfId="0" applyFont="1" applyFill="1" applyBorder="1"/>
    <xf numFmtId="0" fontId="1" fillId="6" borderId="18" xfId="0" applyFont="1" applyFill="1" applyBorder="1"/>
    <xf numFmtId="0" fontId="0" fillId="6" borderId="17" xfId="0" applyFill="1" applyBorder="1"/>
    <xf numFmtId="2" fontId="1" fillId="2" borderId="18" xfId="0" applyNumberFormat="1" applyFont="1" applyFill="1" applyBorder="1"/>
    <xf numFmtId="2" fontId="1" fillId="2" borderId="17" xfId="0" applyNumberFormat="1" applyFont="1" applyFill="1" applyBorder="1"/>
    <xf numFmtId="2" fontId="0" fillId="6" borderId="20" xfId="0" applyNumberFormat="1" applyFill="1" applyBorder="1"/>
    <xf numFmtId="2" fontId="1" fillId="2" borderId="28" xfId="0" applyNumberFormat="1" applyFont="1" applyFill="1" applyBorder="1"/>
    <xf numFmtId="0" fontId="0" fillId="2" borderId="0" xfId="0" applyFill="1" applyBorder="1"/>
    <xf numFmtId="2" fontId="0" fillId="0" borderId="0" xfId="0" applyNumberFormat="1"/>
    <xf numFmtId="0" fontId="17" fillId="0" borderId="4" xfId="3" applyBorder="1"/>
    <xf numFmtId="0" fontId="17" fillId="0" borderId="4" xfId="3" applyFill="1" applyBorder="1"/>
    <xf numFmtId="0" fontId="17" fillId="0" borderId="9" xfId="3" applyFill="1" applyBorder="1"/>
    <xf numFmtId="2" fontId="0" fillId="11" borderId="0" xfId="0" applyNumberFormat="1" applyFill="1" applyBorder="1"/>
    <xf numFmtId="2" fontId="0" fillId="11" borderId="1" xfId="0" applyNumberFormat="1" applyFill="1" applyBorder="1"/>
    <xf numFmtId="10" fontId="0" fillId="9" borderId="0" xfId="0" applyNumberFormat="1" applyFill="1" applyBorder="1"/>
    <xf numFmtId="10" fontId="0" fillId="9" borderId="1" xfId="0" applyNumberFormat="1" applyFill="1" applyBorder="1"/>
    <xf numFmtId="0" fontId="1" fillId="8" borderId="0" xfId="0" applyFont="1" applyFill="1" applyBorder="1"/>
    <xf numFmtId="0" fontId="1" fillId="8" borderId="13" xfId="0" applyFont="1" applyFill="1" applyBorder="1"/>
    <xf numFmtId="0" fontId="1" fillId="8" borderId="1" xfId="0" applyFont="1" applyFill="1" applyBorder="1"/>
    <xf numFmtId="0" fontId="0" fillId="0" borderId="0" xfId="0" quotePrefix="1"/>
    <xf numFmtId="0" fontId="0" fillId="0" borderId="0" xfId="0" applyFont="1"/>
    <xf numFmtId="10" fontId="0" fillId="6" borderId="1" xfId="1" applyNumberFormat="1" applyFont="1" applyFill="1" applyBorder="1"/>
    <xf numFmtId="0" fontId="14" fillId="0" borderId="22" xfId="0" applyFont="1" applyBorder="1"/>
    <xf numFmtId="0" fontId="14" fillId="0" borderId="4" xfId="0" applyFont="1" applyBorder="1"/>
    <xf numFmtId="0" fontId="11" fillId="0" borderId="4" xfId="0" applyFont="1" applyBorder="1"/>
    <xf numFmtId="0" fontId="11" fillId="0" borderId="6" xfId="0" applyFont="1" applyBorder="1"/>
    <xf numFmtId="0" fontId="11" fillId="0" borderId="0" xfId="0" applyFont="1" applyBorder="1"/>
    <xf numFmtId="0" fontId="18" fillId="0" borderId="22" xfId="0" applyFont="1" applyBorder="1"/>
    <xf numFmtId="0" fontId="18" fillId="0" borderId="4" xfId="0" applyFont="1" applyBorder="1"/>
    <xf numFmtId="0" fontId="16" fillId="0" borderId="0" xfId="0" applyFont="1" applyBorder="1"/>
    <xf numFmtId="164" fontId="0" fillId="0" borderId="7" xfId="0" applyNumberFormat="1" applyBorder="1"/>
    <xf numFmtId="0" fontId="16" fillId="0" borderId="23" xfId="0" applyFont="1" applyBorder="1"/>
    <xf numFmtId="0" fontId="16" fillId="0" borderId="24" xfId="0" applyFont="1" applyBorder="1"/>
    <xf numFmtId="0" fontId="16" fillId="8" borderId="23" xfId="0" applyFont="1" applyFill="1" applyBorder="1"/>
    <xf numFmtId="0" fontId="16" fillId="8" borderId="0" xfId="0" applyFont="1" applyFill="1" applyBorder="1"/>
    <xf numFmtId="1" fontId="0" fillId="0" borderId="0" xfId="0" applyNumberFormat="1" applyBorder="1"/>
    <xf numFmtId="1" fontId="0" fillId="8" borderId="0" xfId="0" applyNumberFormat="1" applyFill="1" applyBorder="1"/>
    <xf numFmtId="164" fontId="0" fillId="8" borderId="0" xfId="0" applyNumberFormat="1" applyFill="1" applyBorder="1"/>
    <xf numFmtId="164" fontId="0" fillId="0" borderId="1" xfId="0" applyNumberFormat="1" applyBorder="1"/>
    <xf numFmtId="0" fontId="13" fillId="0" borderId="4" xfId="0" applyFont="1" applyBorder="1"/>
    <xf numFmtId="0" fontId="3" fillId="2" borderId="2" xfId="0" applyFont="1" applyFill="1" applyBorder="1"/>
    <xf numFmtId="0" fontId="0" fillId="2" borderId="8" xfId="0" applyFill="1" applyBorder="1"/>
    <xf numFmtId="0" fontId="0" fillId="2" borderId="3" xfId="0" applyFill="1" applyBorder="1"/>
    <xf numFmtId="0" fontId="3" fillId="2" borderId="1" xfId="0" applyFont="1" applyFill="1" applyBorder="1"/>
    <xf numFmtId="0" fontId="3" fillId="2" borderId="10" xfId="0" applyFont="1" applyFill="1" applyBorder="1"/>
    <xf numFmtId="0" fontId="0" fillId="12" borderId="8" xfId="0" applyFill="1" applyBorder="1" applyProtection="1">
      <protection locked="0"/>
    </xf>
    <xf numFmtId="0" fontId="0" fillId="12" borderId="0" xfId="0" applyFill="1" applyBorder="1" applyProtection="1">
      <protection locked="0"/>
    </xf>
    <xf numFmtId="0" fontId="3" fillId="12" borderId="1" xfId="0" applyFont="1" applyFill="1" applyBorder="1" applyProtection="1">
      <protection locked="0"/>
    </xf>
    <xf numFmtId="0" fontId="16" fillId="12" borderId="13" xfId="0" applyFont="1" applyFill="1" applyBorder="1" applyProtection="1">
      <protection locked="0"/>
    </xf>
    <xf numFmtId="0" fontId="16" fillId="12" borderId="10" xfId="0" applyFont="1" applyFill="1" applyBorder="1" applyProtection="1">
      <protection locked="0"/>
    </xf>
    <xf numFmtId="0" fontId="0" fillId="12" borderId="11" xfId="0" applyFill="1" applyBorder="1" applyProtection="1">
      <protection locked="0"/>
    </xf>
    <xf numFmtId="10" fontId="0" fillId="12" borderId="14" xfId="1" applyNumberFormat="1" applyFont="1" applyFill="1" applyBorder="1" applyProtection="1">
      <protection locked="0"/>
    </xf>
    <xf numFmtId="10" fontId="0" fillId="12" borderId="7" xfId="1" applyNumberFormat="1" applyFont="1" applyFill="1" applyBorder="1" applyProtection="1">
      <protection locked="0"/>
    </xf>
    <xf numFmtId="0" fontId="3" fillId="2" borderId="8" xfId="0" applyFont="1" applyFill="1" applyBorder="1"/>
    <xf numFmtId="0" fontId="3" fillId="6" borderId="4" xfId="0" applyFont="1" applyFill="1" applyBorder="1"/>
    <xf numFmtId="0" fontId="3" fillId="2" borderId="21" xfId="0" applyFont="1" applyFill="1" applyBorder="1"/>
    <xf numFmtId="0" fontId="3" fillId="2" borderId="12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/>
    <xf numFmtId="0" fontId="3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3" xfId="0" applyFont="1" applyFill="1" applyBorder="1"/>
    <xf numFmtId="0" fontId="16" fillId="0" borderId="3" xfId="0" applyFont="1" applyBorder="1"/>
    <xf numFmtId="0" fontId="3" fillId="2" borderId="8" xfId="0" applyFont="1" applyFill="1" applyBorder="1" applyAlignment="1"/>
    <xf numFmtId="0" fontId="3" fillId="2" borderId="3" xfId="0" applyFont="1" applyFill="1" applyBorder="1" applyAlignment="1"/>
    <xf numFmtId="9" fontId="1" fillId="0" borderId="0" xfId="1" applyFont="1" applyFill="1" applyBorder="1"/>
    <xf numFmtId="9" fontId="13" fillId="0" borderId="0" xfId="1" applyFont="1" applyBorder="1"/>
    <xf numFmtId="0" fontId="0" fillId="3" borderId="1" xfId="0" applyFill="1" applyBorder="1"/>
    <xf numFmtId="0" fontId="1" fillId="4" borderId="9" xfId="0" quotePrefix="1" applyFont="1" applyFill="1" applyBorder="1"/>
    <xf numFmtId="0" fontId="3" fillId="0" borderId="1" xfId="0" applyFont="1" applyBorder="1" applyAlignment="1">
      <alignment horizontal="center"/>
    </xf>
    <xf numFmtId="165" fontId="0" fillId="0" borderId="1" xfId="0" applyNumberFormat="1" applyBorder="1"/>
    <xf numFmtId="166" fontId="0" fillId="2" borderId="0" xfId="1" applyNumberFormat="1" applyFont="1" applyFill="1" applyBorder="1"/>
    <xf numFmtId="165" fontId="5" fillId="0" borderId="0" xfId="0" applyNumberFormat="1" applyFont="1" applyFill="1" applyBorder="1"/>
    <xf numFmtId="0" fontId="0" fillId="11" borderId="18" xfId="0" applyFill="1" applyBorder="1"/>
    <xf numFmtId="2" fontId="0" fillId="0" borderId="18" xfId="0" applyNumberFormat="1" applyBorder="1"/>
    <xf numFmtId="0" fontId="0" fillId="0" borderId="14" xfId="0" applyBorder="1"/>
    <xf numFmtId="2" fontId="0" fillId="0" borderId="20" xfId="0" applyNumberFormat="1" applyBorder="1"/>
    <xf numFmtId="0" fontId="19" fillId="0" borderId="2" xfId="0" applyFont="1" applyBorder="1"/>
    <xf numFmtId="0" fontId="0" fillId="3" borderId="5" xfId="0" applyFill="1" applyBorder="1"/>
    <xf numFmtId="165" fontId="0" fillId="0" borderId="0" xfId="0" applyNumberFormat="1" applyBorder="1"/>
    <xf numFmtId="0" fontId="3" fillId="0" borderId="0" xfId="0" applyFont="1" applyBorder="1" applyAlignment="1"/>
    <xf numFmtId="165" fontId="0" fillId="0" borderId="11" xfId="0" applyNumberFormat="1" applyBorder="1"/>
    <xf numFmtId="0" fontId="0" fillId="0" borderId="5" xfId="0" applyFont="1" applyBorder="1"/>
    <xf numFmtId="2" fontId="0" fillId="0" borderId="0" xfId="0" applyNumberFormat="1" applyFont="1" applyBorder="1"/>
    <xf numFmtId="0" fontId="0" fillId="3" borderId="0" xfId="0" applyFont="1" applyFill="1" applyBorder="1"/>
    <xf numFmtId="0" fontId="0" fillId="3" borderId="5" xfId="0" applyFont="1" applyFill="1" applyBorder="1"/>
    <xf numFmtId="165" fontId="0" fillId="2" borderId="0" xfId="0" applyNumberFormat="1" applyFill="1" applyBorder="1"/>
    <xf numFmtId="2" fontId="0" fillId="0" borderId="1" xfId="0" applyNumberFormat="1" applyFont="1" applyBorder="1"/>
    <xf numFmtId="0" fontId="0" fillId="3" borderId="1" xfId="0" applyFont="1" applyFill="1" applyBorder="1"/>
    <xf numFmtId="0" fontId="0" fillId="3" borderId="10" xfId="0" applyFont="1" applyFill="1" applyBorder="1"/>
    <xf numFmtId="0" fontId="3" fillId="2" borderId="9" xfId="0" applyFont="1" applyFill="1" applyBorder="1"/>
    <xf numFmtId="0" fontId="16" fillId="0" borderId="5" xfId="0" applyFont="1" applyBorder="1" applyAlignment="1">
      <alignment horizontal="center"/>
    </xf>
    <xf numFmtId="0" fontId="1" fillId="0" borderId="0" xfId="0" applyFont="1" applyFill="1" applyBorder="1"/>
    <xf numFmtId="164" fontId="0" fillId="6" borderId="9" xfId="0" applyNumberFormat="1" applyFont="1" applyFill="1" applyBorder="1"/>
    <xf numFmtId="0" fontId="1" fillId="0" borderId="0" xfId="0" applyFont="1" applyFill="1"/>
    <xf numFmtId="165" fontId="0" fillId="2" borderId="11" xfId="0" applyNumberFormat="1" applyFill="1" applyBorder="1"/>
    <xf numFmtId="9" fontId="0" fillId="0" borderId="0" xfId="0" applyNumberFormat="1" applyBorder="1"/>
    <xf numFmtId="0" fontId="3" fillId="0" borderId="0" xfId="0" applyFont="1" applyFill="1" applyBorder="1"/>
    <xf numFmtId="2" fontId="1" fillId="0" borderId="32" xfId="0" applyNumberFormat="1" applyFont="1" applyFill="1" applyBorder="1"/>
    <xf numFmtId="2" fontId="1" fillId="0" borderId="33" xfId="0" applyNumberFormat="1" applyFont="1" applyFill="1" applyBorder="1"/>
    <xf numFmtId="0" fontId="3" fillId="0" borderId="5" xfId="0" applyFont="1" applyFill="1" applyBorder="1"/>
    <xf numFmtId="0" fontId="0" fillId="0" borderId="5" xfId="0" applyFont="1" applyFill="1" applyBorder="1"/>
    <xf numFmtId="164" fontId="0" fillId="0" borderId="1" xfId="0" applyNumberFormat="1" applyFont="1" applyFill="1" applyBorder="1"/>
    <xf numFmtId="164" fontId="0" fillId="0" borderId="10" xfId="0" applyNumberFormat="1" applyFont="1" applyFill="1" applyBorder="1"/>
    <xf numFmtId="0" fontId="20" fillId="6" borderId="2" xfId="0" applyFont="1" applyFill="1" applyBorder="1"/>
    <xf numFmtId="0" fontId="4" fillId="6" borderId="2" xfId="0" applyFont="1" applyFill="1" applyBorder="1"/>
    <xf numFmtId="0" fontId="21" fillId="0" borderId="4" xfId="0" applyFont="1" applyFill="1" applyBorder="1"/>
    <xf numFmtId="0" fontId="21" fillId="0" borderId="4" xfId="0" applyFont="1" applyBorder="1"/>
    <xf numFmtId="2" fontId="0" fillId="0" borderId="32" xfId="0" applyNumberFormat="1" applyBorder="1"/>
    <xf numFmtId="0" fontId="3" fillId="0" borderId="25" xfId="0" applyFont="1" applyBorder="1"/>
    <xf numFmtId="2" fontId="0" fillId="0" borderId="34" xfId="0" applyNumberFormat="1" applyBorder="1"/>
    <xf numFmtId="164" fontId="0" fillId="0" borderId="0" xfId="0" applyNumberFormat="1" applyFill="1" applyBorder="1"/>
    <xf numFmtId="0" fontId="7" fillId="0" borderId="0" xfId="0" applyFont="1" applyFill="1" applyBorder="1"/>
    <xf numFmtId="0" fontId="1" fillId="0" borderId="0" xfId="0" quotePrefix="1" applyFont="1" applyFill="1" applyBorder="1"/>
    <xf numFmtId="0" fontId="5" fillId="0" borderId="11" xfId="0" applyFont="1" applyFill="1" applyBorder="1"/>
    <xf numFmtId="166" fontId="0" fillId="2" borderId="11" xfId="1" applyNumberFormat="1" applyFont="1" applyFill="1" applyBorder="1"/>
    <xf numFmtId="9" fontId="0" fillId="0" borderId="0" xfId="1" applyFont="1"/>
    <xf numFmtId="0" fontId="0" fillId="0" borderId="0" xfId="0" applyAlignment="1">
      <alignment horizontal="right"/>
    </xf>
    <xf numFmtId="0" fontId="1" fillId="0" borderId="9" xfId="0" applyFont="1" applyFill="1" applyBorder="1"/>
    <xf numFmtId="9" fontId="0" fillId="0" borderId="0" xfId="1" applyFont="1" applyFill="1" applyBorder="1" applyAlignment="1">
      <alignment horizontal="center"/>
    </xf>
    <xf numFmtId="2" fontId="0" fillId="0" borderId="5" xfId="0" applyNumberFormat="1" applyFont="1" applyBorder="1"/>
    <xf numFmtId="43" fontId="3" fillId="0" borderId="0" xfId="0" applyNumberFormat="1" applyFont="1" applyBorder="1"/>
    <xf numFmtId="0" fontId="0" fillId="0" borderId="4" xfId="0" quotePrefix="1" applyBorder="1"/>
    <xf numFmtId="43" fontId="0" fillId="0" borderId="0" xfId="0" applyNumberFormat="1" applyBorder="1"/>
    <xf numFmtId="43" fontId="0" fillId="0" borderId="11" xfId="0" applyNumberFormat="1" applyBorder="1"/>
    <xf numFmtId="0" fontId="1" fillId="6" borderId="29" xfId="0" applyFont="1" applyFill="1" applyBorder="1"/>
    <xf numFmtId="0" fontId="1" fillId="6" borderId="30" xfId="0" applyFont="1" applyFill="1" applyBorder="1"/>
    <xf numFmtId="0" fontId="1" fillId="8" borderId="29" xfId="0" applyFont="1" applyFill="1" applyBorder="1"/>
    <xf numFmtId="0" fontId="1" fillId="8" borderId="30" xfId="0" applyFont="1" applyFill="1" applyBorder="1"/>
    <xf numFmtId="0" fontId="1" fillId="2" borderId="36" xfId="0" applyFont="1" applyFill="1" applyBorder="1"/>
    <xf numFmtId="0" fontId="1" fillId="2" borderId="17" xfId="0" applyFont="1" applyFill="1" applyBorder="1"/>
    <xf numFmtId="164" fontId="0" fillId="0" borderId="0" xfId="0" applyNumberFormat="1" applyFill="1"/>
    <xf numFmtId="164" fontId="0" fillId="7" borderId="9" xfId="0" applyNumberFormat="1" applyFont="1" applyFill="1" applyBorder="1"/>
    <xf numFmtId="10" fontId="0" fillId="7" borderId="1" xfId="1" applyNumberFormat="1" applyFont="1" applyFill="1" applyBorder="1"/>
    <xf numFmtId="0" fontId="0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0" fillId="5" borderId="0" xfId="0" applyNumberFormat="1" applyFont="1" applyFill="1" applyBorder="1" applyAlignment="1">
      <alignment horizontal="right"/>
    </xf>
    <xf numFmtId="165" fontId="0" fillId="5" borderId="1" xfId="0" applyNumberFormat="1" applyFont="1" applyFill="1" applyBorder="1" applyAlignment="1">
      <alignment horizontal="right"/>
    </xf>
    <xf numFmtId="165" fontId="0" fillId="0" borderId="0" xfId="0" applyNumberFormat="1" applyFont="1" applyBorder="1"/>
    <xf numFmtId="10" fontId="0" fillId="0" borderId="0" xfId="0" applyNumberFormat="1"/>
    <xf numFmtId="0" fontId="0" fillId="0" borderId="8" xfId="0" applyFont="1" applyBorder="1"/>
    <xf numFmtId="0" fontId="0" fillId="0" borderId="3" xfId="0" applyFont="1" applyBorder="1"/>
    <xf numFmtId="0" fontId="3" fillId="2" borderId="3" xfId="0" applyFont="1" applyFill="1" applyBorder="1"/>
    <xf numFmtId="0" fontId="3" fillId="2" borderId="18" xfId="0" applyFont="1" applyFill="1" applyBorder="1"/>
    <xf numFmtId="0" fontId="2" fillId="6" borderId="2" xfId="0" applyFont="1" applyFill="1" applyBorder="1"/>
    <xf numFmtId="2" fontId="0" fillId="5" borderId="12" xfId="0" applyNumberFormat="1" applyFill="1" applyBorder="1"/>
    <xf numFmtId="2" fontId="0" fillId="5" borderId="14" xfId="0" applyNumberFormat="1" applyFill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3" fillId="0" borderId="6" xfId="0" applyFont="1" applyBorder="1"/>
    <xf numFmtId="0" fontId="24" fillId="2" borderId="2" xfId="0" applyFont="1" applyFill="1" applyBorder="1"/>
    <xf numFmtId="0" fontId="24" fillId="2" borderId="8" xfId="0" applyFont="1" applyFill="1" applyBorder="1"/>
    <xf numFmtId="0" fontId="13" fillId="6" borderId="4" xfId="0" applyFont="1" applyFill="1" applyBorder="1"/>
    <xf numFmtId="0" fontId="13" fillId="0" borderId="0" xfId="0" applyFont="1" applyFill="1" applyBorder="1"/>
    <xf numFmtId="0" fontId="13" fillId="0" borderId="8" xfId="0" applyFont="1" applyBorder="1"/>
    <xf numFmtId="0" fontId="13" fillId="0" borderId="5" xfId="0" applyFont="1" applyBorder="1"/>
    <xf numFmtId="9" fontId="13" fillId="12" borderId="0" xfId="1" applyFont="1" applyFill="1" applyBorder="1"/>
    <xf numFmtId="9" fontId="13" fillId="12" borderId="11" xfId="1" applyFont="1" applyFill="1" applyBorder="1"/>
    <xf numFmtId="0" fontId="25" fillId="0" borderId="4" xfId="3" applyFont="1" applyBorder="1"/>
    <xf numFmtId="10" fontId="13" fillId="0" borderId="0" xfId="1" applyNumberFormat="1" applyFont="1" applyBorder="1"/>
    <xf numFmtId="0" fontId="25" fillId="0" borderId="4" xfId="3" applyFont="1" applyFill="1" applyBorder="1"/>
    <xf numFmtId="10" fontId="13" fillId="0" borderId="0" xfId="1" applyNumberFormat="1" applyFont="1" applyFill="1" applyBorder="1"/>
    <xf numFmtId="0" fontId="25" fillId="0" borderId="6" xfId="3" applyFont="1" applyFill="1" applyBorder="1"/>
    <xf numFmtId="0" fontId="24" fillId="0" borderId="4" xfId="0" applyFont="1" applyFill="1" applyBorder="1"/>
    <xf numFmtId="0" fontId="13" fillId="0" borderId="4" xfId="0" applyFont="1" applyFill="1" applyBorder="1"/>
    <xf numFmtId="0" fontId="13" fillId="0" borderId="6" xfId="0" applyFont="1" applyFill="1" applyBorder="1"/>
    <xf numFmtId="9" fontId="13" fillId="0" borderId="5" xfId="1" applyFont="1" applyFill="1" applyBorder="1"/>
    <xf numFmtId="0" fontId="13" fillId="0" borderId="11" xfId="0" applyFont="1" applyFill="1" applyBorder="1"/>
    <xf numFmtId="9" fontId="13" fillId="0" borderId="7" xfId="1" applyFont="1" applyFill="1" applyBorder="1"/>
    <xf numFmtId="0" fontId="27" fillId="0" borderId="4" xfId="0" applyFont="1" applyFill="1" applyBorder="1"/>
    <xf numFmtId="0" fontId="27" fillId="0" borderId="0" xfId="0" applyFont="1" applyFill="1" applyBorder="1"/>
    <xf numFmtId="0" fontId="27" fillId="0" borderId="6" xfId="0" applyFont="1" applyFill="1" applyBorder="1"/>
    <xf numFmtId="0" fontId="27" fillId="0" borderId="11" xfId="0" applyFont="1" applyFill="1" applyBorder="1"/>
    <xf numFmtId="0" fontId="13" fillId="0" borderId="2" xfId="0" applyFont="1" applyBorder="1"/>
    <xf numFmtId="0" fontId="13" fillId="2" borderId="13" xfId="0" applyFont="1" applyFill="1" applyBorder="1"/>
    <xf numFmtId="0" fontId="13" fillId="2" borderId="1" xfId="0" applyFont="1" applyFill="1" applyBorder="1"/>
    <xf numFmtId="0" fontId="24" fillId="2" borderId="4" xfId="0" applyFont="1" applyFill="1" applyBorder="1"/>
    <xf numFmtId="0" fontId="13" fillId="2" borderId="0" xfId="0" applyFont="1" applyFill="1" applyBorder="1"/>
    <xf numFmtId="0" fontId="13" fillId="0" borderId="12" xfId="0" applyFont="1" applyBorder="1"/>
    <xf numFmtId="10" fontId="13" fillId="0" borderId="12" xfId="1" applyNumberFormat="1" applyFont="1" applyBorder="1"/>
    <xf numFmtId="9" fontId="13" fillId="0" borderId="5" xfId="1" applyFont="1" applyBorder="1"/>
    <xf numFmtId="0" fontId="13" fillId="0" borderId="9" xfId="0" applyFont="1" applyBorder="1"/>
    <xf numFmtId="10" fontId="13" fillId="0" borderId="13" xfId="1" applyNumberFormat="1" applyFont="1" applyBorder="1"/>
    <xf numFmtId="9" fontId="13" fillId="0" borderId="0" xfId="1" applyFont="1" applyFill="1" applyBorder="1"/>
    <xf numFmtId="10" fontId="13" fillId="0" borderId="12" xfId="0" applyNumberFormat="1" applyFont="1" applyBorder="1"/>
    <xf numFmtId="10" fontId="13" fillId="0" borderId="14" xfId="0" applyNumberFormat="1" applyFont="1" applyBorder="1"/>
    <xf numFmtId="0" fontId="13" fillId="2" borderId="13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right"/>
    </xf>
    <xf numFmtId="0" fontId="13" fillId="2" borderId="10" xfId="0" applyFont="1" applyFill="1" applyBorder="1" applyAlignment="1">
      <alignment horizontal="right"/>
    </xf>
    <xf numFmtId="0" fontId="7" fillId="0" borderId="22" xfId="0" applyFont="1" applyBorder="1"/>
    <xf numFmtId="0" fontId="1" fillId="0" borderId="3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4" xfId="0" applyFont="1" applyFill="1" applyBorder="1"/>
    <xf numFmtId="0" fontId="1" fillId="0" borderId="29" xfId="0" applyFont="1" applyBorder="1"/>
    <xf numFmtId="0" fontId="1" fillId="2" borderId="9" xfId="0" applyFont="1" applyFill="1" applyBorder="1"/>
    <xf numFmtId="0" fontId="1" fillId="2" borderId="13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13" xfId="0" applyFont="1" applyBorder="1"/>
    <xf numFmtId="0" fontId="1" fillId="0" borderId="4" xfId="0" applyFont="1" applyBorder="1"/>
    <xf numFmtId="2" fontId="1" fillId="0" borderId="12" xfId="0" applyNumberFormat="1" applyFont="1" applyBorder="1"/>
    <xf numFmtId="2" fontId="1" fillId="0" borderId="0" xfId="0" applyNumberFormat="1" applyFont="1" applyBorder="1"/>
    <xf numFmtId="0" fontId="1" fillId="0" borderId="12" xfId="0" applyFont="1" applyBorder="1"/>
    <xf numFmtId="0" fontId="1" fillId="0" borderId="0" xfId="0" applyFont="1" applyBorder="1"/>
    <xf numFmtId="0" fontId="1" fillId="0" borderId="9" xfId="0" applyFont="1" applyBorder="1"/>
    <xf numFmtId="2" fontId="1" fillId="0" borderId="13" xfId="0" applyNumberFormat="1" applyFont="1" applyBorder="1"/>
    <xf numFmtId="2" fontId="1" fillId="0" borderId="1" xfId="0" applyNumberFormat="1" applyFont="1" applyBorder="1"/>
    <xf numFmtId="0" fontId="1" fillId="2" borderId="6" xfId="0" applyFont="1" applyFill="1" applyBorder="1"/>
    <xf numFmtId="2" fontId="1" fillId="2" borderId="14" xfId="0" applyNumberFormat="1" applyFont="1" applyFill="1" applyBorder="1"/>
    <xf numFmtId="2" fontId="1" fillId="2" borderId="11" xfId="0" applyNumberFormat="1" applyFont="1" applyFill="1" applyBorder="1"/>
    <xf numFmtId="2" fontId="1" fillId="2" borderId="20" xfId="0" applyNumberFormat="1" applyFont="1" applyFill="1" applyBorder="1"/>
    <xf numFmtId="0" fontId="1" fillId="2" borderId="35" xfId="0" applyFont="1" applyFill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2" fontId="1" fillId="0" borderId="40" xfId="0" applyNumberFormat="1" applyFont="1" applyBorder="1"/>
    <xf numFmtId="0" fontId="1" fillId="0" borderId="0" xfId="0" applyFont="1"/>
    <xf numFmtId="2" fontId="1" fillId="0" borderId="14" xfId="0" applyNumberFormat="1" applyFont="1" applyBorder="1"/>
    <xf numFmtId="2" fontId="1" fillId="0" borderId="11" xfId="0" applyNumberFormat="1" applyFont="1" applyBorder="1"/>
    <xf numFmtId="2" fontId="1" fillId="0" borderId="16" xfId="0" applyNumberFormat="1" applyFont="1" applyFill="1" applyBorder="1"/>
    <xf numFmtId="2" fontId="1" fillId="0" borderId="30" xfId="0" applyNumberFormat="1" applyFont="1" applyFill="1" applyBorder="1"/>
    <xf numFmtId="2" fontId="1" fillId="0" borderId="42" xfId="0" applyNumberFormat="1" applyFont="1" applyFill="1" applyBorder="1"/>
    <xf numFmtId="2" fontId="1" fillId="0" borderId="15" xfId="0" applyNumberFormat="1" applyFont="1" applyFill="1" applyBorder="1"/>
    <xf numFmtId="2" fontId="1" fillId="0" borderId="41" xfId="0" applyNumberFormat="1" applyFont="1" applyFill="1" applyBorder="1"/>
    <xf numFmtId="2" fontId="0" fillId="10" borderId="0" xfId="0" applyNumberFormat="1" applyFill="1" applyBorder="1"/>
    <xf numFmtId="0" fontId="3" fillId="10" borderId="0" xfId="0" applyFont="1" applyFill="1" applyBorder="1" applyAlignment="1">
      <alignment horizontal="center"/>
    </xf>
    <xf numFmtId="0" fontId="0" fillId="14" borderId="0" xfId="0" applyFill="1"/>
    <xf numFmtId="2" fontId="0" fillId="14" borderId="0" xfId="0" applyNumberFormat="1" applyFill="1"/>
    <xf numFmtId="164" fontId="0" fillId="14" borderId="0" xfId="0" applyNumberFormat="1" applyFill="1" applyBorder="1"/>
    <xf numFmtId="164" fontId="0" fillId="14" borderId="5" xfId="0" applyNumberFormat="1" applyFill="1" applyBorder="1"/>
    <xf numFmtId="0" fontId="3" fillId="14" borderId="1" xfId="0" applyFont="1" applyFill="1" applyBorder="1"/>
    <xf numFmtId="164" fontId="0" fillId="14" borderId="0" xfId="0" applyNumberFormat="1" applyFont="1" applyFill="1" applyBorder="1"/>
    <xf numFmtId="0" fontId="0" fillId="14" borderId="0" xfId="0" applyFont="1" applyFill="1" applyBorder="1"/>
    <xf numFmtId="0" fontId="0" fillId="14" borderId="0" xfId="0" applyFill="1" applyBorder="1"/>
    <xf numFmtId="2" fontId="0" fillId="14" borderId="0" xfId="0" applyNumberFormat="1" applyFill="1" applyBorder="1"/>
    <xf numFmtId="2" fontId="0" fillId="14" borderId="11" xfId="0" applyNumberFormat="1" applyFill="1" applyBorder="1"/>
    <xf numFmtId="2" fontId="0" fillId="14" borderId="12" xfId="0" applyNumberFormat="1" applyFill="1" applyBorder="1"/>
    <xf numFmtId="2" fontId="3" fillId="14" borderId="12" xfId="0" applyNumberFormat="1" applyFont="1" applyFill="1" applyBorder="1"/>
    <xf numFmtId="2" fontId="3" fillId="14" borderId="18" xfId="0" applyNumberFormat="1" applyFont="1" applyFill="1" applyBorder="1"/>
    <xf numFmtId="0" fontId="0" fillId="14" borderId="12" xfId="0" applyFill="1" applyBorder="1"/>
    <xf numFmtId="0" fontId="0" fillId="14" borderId="5" xfId="0" applyFill="1" applyBorder="1"/>
    <xf numFmtId="2" fontId="3" fillId="14" borderId="13" xfId="0" applyNumberFormat="1" applyFont="1" applyFill="1" applyBorder="1"/>
    <xf numFmtId="2" fontId="3" fillId="14" borderId="17" xfId="0" applyNumberFormat="1" applyFont="1" applyFill="1" applyBorder="1"/>
    <xf numFmtId="0" fontId="0" fillId="13" borderId="0" xfId="0" applyFill="1"/>
    <xf numFmtId="43" fontId="3" fillId="13" borderId="0" xfId="0" applyNumberFormat="1" applyFont="1" applyFill="1" applyBorder="1"/>
    <xf numFmtId="0" fontId="15" fillId="2" borderId="12" xfId="0" applyFont="1" applyFill="1" applyBorder="1"/>
    <xf numFmtId="0" fontId="15" fillId="2" borderId="0" xfId="0" applyFont="1" applyFill="1" applyBorder="1"/>
    <xf numFmtId="0" fontId="15" fillId="2" borderId="5" xfId="0" applyFont="1" applyFill="1" applyBorder="1"/>
    <xf numFmtId="43" fontId="3" fillId="0" borderId="8" xfId="0" applyNumberFormat="1" applyFont="1" applyBorder="1"/>
    <xf numFmtId="43" fontId="3" fillId="13" borderId="8" xfId="0" applyNumberFormat="1" applyFont="1" applyFill="1" applyBorder="1"/>
    <xf numFmtId="43" fontId="3" fillId="13" borderId="3" xfId="0" applyNumberFormat="1" applyFont="1" applyFill="1" applyBorder="1"/>
    <xf numFmtId="43" fontId="3" fillId="13" borderId="5" xfId="0" applyNumberFormat="1" applyFont="1" applyFill="1" applyBorder="1"/>
    <xf numFmtId="2" fontId="3" fillId="13" borderId="0" xfId="0" applyNumberFormat="1" applyFont="1" applyFill="1" applyBorder="1"/>
    <xf numFmtId="2" fontId="3" fillId="13" borderId="5" xfId="0" applyNumberFormat="1" applyFont="1" applyFill="1" applyBorder="1"/>
    <xf numFmtId="2" fontId="0" fillId="13" borderId="5" xfId="0" applyNumberFormat="1" applyFill="1" applyBorder="1"/>
    <xf numFmtId="2" fontId="0" fillId="13" borderId="10" xfId="0" applyNumberFormat="1" applyFill="1" applyBorder="1"/>
    <xf numFmtId="2" fontId="0" fillId="13" borderId="7" xfId="0" applyNumberFormat="1" applyFill="1" applyBorder="1"/>
    <xf numFmtId="2" fontId="0" fillId="13" borderId="0" xfId="0" applyNumberFormat="1" applyFill="1" applyBorder="1"/>
    <xf numFmtId="0" fontId="0" fillId="13" borderId="0" xfId="0" applyFill="1" applyBorder="1"/>
    <xf numFmtId="2" fontId="0" fillId="13" borderId="1" xfId="0" applyNumberFormat="1" applyFill="1" applyBorder="1"/>
    <xf numFmtId="0" fontId="0" fillId="13" borderId="1" xfId="0" applyFill="1" applyBorder="1"/>
    <xf numFmtId="2" fontId="0" fillId="13" borderId="11" xfId="0" applyNumberFormat="1" applyFill="1" applyBorder="1"/>
    <xf numFmtId="0" fontId="0" fillId="13" borderId="11" xfId="0" applyFill="1" applyBorder="1"/>
    <xf numFmtId="2" fontId="0" fillId="13" borderId="14" xfId="0" applyNumberFormat="1" applyFill="1" applyBorder="1"/>
    <xf numFmtId="0" fontId="3" fillId="2" borderId="15" xfId="0" applyFont="1" applyFill="1" applyBorder="1" applyAlignment="1"/>
    <xf numFmtId="0" fontId="3" fillId="2" borderId="16" xfId="0" applyFont="1" applyFill="1" applyBorder="1"/>
    <xf numFmtId="10" fontId="0" fillId="9" borderId="15" xfId="0" applyNumberFormat="1" applyFill="1" applyBorder="1"/>
    <xf numFmtId="10" fontId="0" fillId="9" borderId="16" xfId="0" applyNumberFormat="1" applyFill="1" applyBorder="1"/>
    <xf numFmtId="0" fontId="0" fillId="6" borderId="5" xfId="0" applyFill="1" applyBorder="1"/>
    <xf numFmtId="0" fontId="16" fillId="12" borderId="21" xfId="0" applyFont="1" applyFill="1" applyBorder="1" applyAlignment="1" applyProtection="1">
      <alignment horizontal="center"/>
      <protection locked="0"/>
    </xf>
    <xf numFmtId="0" fontId="13" fillId="2" borderId="21" xfId="0" applyFont="1" applyFill="1" applyBorder="1" applyAlignment="1"/>
    <xf numFmtId="0" fontId="13" fillId="2" borderId="26" xfId="0" applyFont="1" applyFill="1" applyBorder="1" applyAlignment="1"/>
    <xf numFmtId="0" fontId="13" fillId="2" borderId="3" xfId="0" applyFont="1" applyFill="1" applyBorder="1" applyAlignment="1"/>
    <xf numFmtId="0" fontId="13" fillId="2" borderId="8" xfId="0" applyFont="1" applyFill="1" applyBorder="1" applyAlignment="1"/>
    <xf numFmtId="9" fontId="13" fillId="0" borderId="11" xfId="1" applyFont="1" applyFill="1" applyBorder="1"/>
    <xf numFmtId="10" fontId="13" fillId="0" borderId="12" xfId="1" applyNumberFormat="1" applyFont="1" applyFill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2" borderId="22" xfId="0" applyFont="1" applyFill="1" applyBorder="1"/>
    <xf numFmtId="0" fontId="0" fillId="2" borderId="23" xfId="0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0" borderId="10" xfId="0" applyFont="1" applyBorder="1" applyAlignment="1">
      <alignment horizontal="center"/>
    </xf>
    <xf numFmtId="0" fontId="14" fillId="0" borderId="0" xfId="0" applyFont="1" applyBorder="1"/>
    <xf numFmtId="0" fontId="18" fillId="0" borderId="23" xfId="0" applyFont="1" applyBorder="1"/>
    <xf numFmtId="0" fontId="18" fillId="0" borderId="0" xfId="0" applyFont="1" applyBorder="1"/>
    <xf numFmtId="0" fontId="16" fillId="0" borderId="8" xfId="0" applyFont="1" applyBorder="1"/>
    <xf numFmtId="164" fontId="11" fillId="0" borderId="0" xfId="0" applyNumberFormat="1" applyFont="1" applyBorder="1"/>
    <xf numFmtId="0" fontId="1" fillId="6" borderId="2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164" fontId="0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28" fillId="0" borderId="0" xfId="0" applyNumberFormat="1" applyFont="1" applyBorder="1"/>
    <xf numFmtId="0" fontId="28" fillId="0" borderId="0" xfId="0" applyFont="1" applyBorder="1"/>
    <xf numFmtId="0" fontId="29" fillId="0" borderId="4" xfId="0" applyFont="1" applyBorder="1"/>
    <xf numFmtId="9" fontId="30" fillId="0" borderId="0" xfId="1" applyFont="1" applyBorder="1"/>
    <xf numFmtId="0" fontId="28" fillId="0" borderId="4" xfId="0" quotePrefix="1" applyFont="1" applyBorder="1"/>
    <xf numFmtId="0" fontId="28" fillId="0" borderId="4" xfId="0" quotePrefix="1" applyFont="1" applyFill="1" applyBorder="1"/>
    <xf numFmtId="164" fontId="28" fillId="0" borderId="0" xfId="0" applyNumberFormat="1" applyFont="1" applyBorder="1"/>
    <xf numFmtId="0" fontId="29" fillId="0" borderId="4" xfId="0" applyFont="1" applyFill="1" applyBorder="1"/>
    <xf numFmtId="0" fontId="28" fillId="0" borderId="6" xfId="0" quotePrefix="1" applyFont="1" applyFill="1" applyBorder="1"/>
    <xf numFmtId="1" fontId="28" fillId="0" borderId="11" xfId="0" applyNumberFormat="1" applyFont="1" applyBorder="1"/>
    <xf numFmtId="9" fontId="28" fillId="0" borderId="0" xfId="1" applyFont="1" applyBorder="1"/>
    <xf numFmtId="10" fontId="28" fillId="0" borderId="0" xfId="1" applyNumberFormat="1" applyFont="1" applyBorder="1"/>
    <xf numFmtId="0" fontId="16" fillId="0" borderId="32" xfId="0" applyFont="1" applyBorder="1"/>
    <xf numFmtId="0" fontId="16" fillId="0" borderId="34" xfId="0" applyFont="1" applyBorder="1"/>
    <xf numFmtId="10" fontId="28" fillId="0" borderId="5" xfId="1" applyNumberFormat="1" applyFont="1" applyBorder="1"/>
    <xf numFmtId="10" fontId="28" fillId="0" borderId="11" xfId="1" applyNumberFormat="1" applyFont="1" applyBorder="1"/>
    <xf numFmtId="10" fontId="28" fillId="0" borderId="7" xfId="1" applyNumberFormat="1" applyFont="1" applyBorder="1"/>
    <xf numFmtId="0" fontId="16" fillId="0" borderId="0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10" fontId="0" fillId="0" borderId="0" xfId="1" applyNumberFormat="1" applyFont="1"/>
    <xf numFmtId="164" fontId="18" fillId="0" borderId="0" xfId="0" applyNumberFormat="1" applyFont="1" applyBorder="1"/>
    <xf numFmtId="1" fontId="0" fillId="0" borderId="0" xfId="0" applyNumberFormat="1"/>
    <xf numFmtId="10" fontId="28" fillId="0" borderId="11" xfId="1" applyNumberFormat="1" applyFont="1" applyFill="1" applyBorder="1"/>
    <xf numFmtId="9" fontId="28" fillId="0" borderId="5" xfId="1" applyFont="1" applyBorder="1"/>
    <xf numFmtId="0" fontId="28" fillId="0" borderId="6" xfId="0" applyFont="1" applyFill="1" applyBorder="1"/>
    <xf numFmtId="1" fontId="0" fillId="0" borderId="11" xfId="0" applyNumberFormat="1" applyBorder="1"/>
    <xf numFmtId="0" fontId="3" fillId="0" borderId="13" xfId="0" applyFont="1" applyBorder="1"/>
    <xf numFmtId="0" fontId="24" fillId="2" borderId="1" xfId="0" applyFont="1" applyFill="1" applyBorder="1"/>
    <xf numFmtId="0" fontId="24" fillId="2" borderId="13" xfId="0" applyFont="1" applyFill="1" applyBorder="1"/>
    <xf numFmtId="0" fontId="24" fillId="2" borderId="10" xfId="0" applyFont="1" applyFill="1" applyBorder="1"/>
    <xf numFmtId="0" fontId="3" fillId="0" borderId="5" xfId="0" applyFont="1" applyBorder="1" applyAlignment="1"/>
    <xf numFmtId="0" fontId="0" fillId="11" borderId="4" xfId="0" applyFill="1" applyBorder="1"/>
    <xf numFmtId="9" fontId="0" fillId="0" borderId="11" xfId="1" applyFont="1" applyFill="1" applyBorder="1"/>
    <xf numFmtId="0" fontId="3" fillId="0" borderId="12" xfId="0" applyFont="1" applyBorder="1" applyAlignment="1"/>
    <xf numFmtId="0" fontId="0" fillId="11" borderId="12" xfId="0" applyFill="1" applyBorder="1"/>
    <xf numFmtId="0" fontId="3" fillId="0" borderId="1" xfId="0" applyFont="1" applyBorder="1" applyAlignment="1">
      <alignment horizontal="right"/>
    </xf>
    <xf numFmtId="9" fontId="0" fillId="3" borderId="6" xfId="0" applyNumberFormat="1" applyFill="1" applyBorder="1"/>
    <xf numFmtId="9" fontId="0" fillId="3" borderId="14" xfId="0" applyNumberFormat="1" applyFill="1" applyBorder="1"/>
    <xf numFmtId="9" fontId="0" fillId="11" borderId="0" xfId="1" applyFont="1" applyFill="1" applyBorder="1"/>
    <xf numFmtId="0" fontId="0" fillId="0" borderId="11" xfId="0" applyFont="1" applyBorder="1"/>
    <xf numFmtId="164" fontId="0" fillId="11" borderId="0" xfId="0" applyNumberFormat="1" applyFont="1" applyFill="1" applyBorder="1"/>
    <xf numFmtId="167" fontId="0" fillId="0" borderId="0" xfId="2" applyNumberFormat="1" applyFont="1" applyBorder="1"/>
    <xf numFmtId="1" fontId="3" fillId="0" borderId="1" xfId="0" applyNumberFormat="1" applyFont="1" applyBorder="1"/>
    <xf numFmtId="43" fontId="0" fillId="0" borderId="0" xfId="2" applyFont="1"/>
    <xf numFmtId="1" fontId="3" fillId="0" borderId="10" xfId="0" applyNumberFormat="1" applyFont="1" applyBorder="1"/>
    <xf numFmtId="164" fontId="0" fillId="11" borderId="5" xfId="0" applyNumberFormat="1" applyFont="1" applyFill="1" applyBorder="1"/>
    <xf numFmtId="164" fontId="0" fillId="11" borderId="10" xfId="0" applyNumberFormat="1" applyFont="1" applyFill="1" applyBorder="1"/>
    <xf numFmtId="164" fontId="0" fillId="11" borderId="7" xfId="0" applyNumberFormat="1" applyFont="1" applyFill="1" applyBorder="1"/>
    <xf numFmtId="168" fontId="3" fillId="0" borderId="1" xfId="2" applyNumberFormat="1" applyFont="1" applyBorder="1"/>
    <xf numFmtId="0" fontId="0" fillId="0" borderId="10" xfId="0" applyBorder="1" applyAlignment="1">
      <alignment horizontal="center"/>
    </xf>
    <xf numFmtId="46" fontId="3" fillId="0" borderId="0" xfId="0" quotePrefix="1" applyNumberFormat="1" applyFont="1" applyBorder="1" applyAlignment="1">
      <alignment horizontal="left"/>
    </xf>
    <xf numFmtId="0" fontId="0" fillId="0" borderId="0" xfId="0" quotePrefix="1" applyFill="1" applyBorder="1"/>
    <xf numFmtId="0" fontId="0" fillId="0" borderId="0" xfId="0" quotePrefix="1" applyBorder="1"/>
    <xf numFmtId="0" fontId="0" fillId="0" borderId="32" xfId="0" applyBorder="1"/>
    <xf numFmtId="0" fontId="1" fillId="0" borderId="1" xfId="0" quotePrefix="1" applyFont="1" applyFill="1" applyBorder="1"/>
    <xf numFmtId="1" fontId="3" fillId="0" borderId="25" xfId="2" applyNumberFormat="1" applyFont="1" applyBorder="1"/>
    <xf numFmtId="0" fontId="0" fillId="0" borderId="34" xfId="0" applyBorder="1"/>
    <xf numFmtId="1" fontId="3" fillId="0" borderId="4" xfId="0" applyNumberFormat="1" applyFont="1" applyBorder="1"/>
    <xf numFmtId="1" fontId="3" fillId="0" borderId="9" xfId="0" applyNumberFormat="1" applyFon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1" xfId="0" quotePrefix="1" applyFont="1" applyFill="1" applyBorder="1"/>
    <xf numFmtId="2" fontId="0" fillId="0" borderId="7" xfId="0" applyNumberFormat="1" applyFill="1" applyBorder="1"/>
    <xf numFmtId="0" fontId="3" fillId="0" borderId="15" xfId="0" applyFont="1" applyBorder="1" applyAlignment="1"/>
    <xf numFmtId="0" fontId="3" fillId="0" borderId="4" xfId="0" applyFont="1" applyBorder="1" applyAlignment="1"/>
    <xf numFmtId="0" fontId="3" fillId="0" borderId="12" xfId="0" applyFont="1" applyFill="1" applyBorder="1" applyAlignment="1"/>
    <xf numFmtId="0" fontId="3" fillId="0" borderId="0" xfId="0" applyFont="1" applyFill="1" applyBorder="1" applyAlignment="1"/>
    <xf numFmtId="0" fontId="3" fillId="0" borderId="5" xfId="0" applyFont="1" applyFill="1" applyBorder="1" applyAlignment="1"/>
    <xf numFmtId="0" fontId="3" fillId="0" borderId="4" xfId="0" applyFont="1" applyFill="1" applyBorder="1" applyAlignment="1"/>
    <xf numFmtId="0" fontId="0" fillId="6" borderId="0" xfId="0" applyFont="1" applyFill="1" applyBorder="1"/>
    <xf numFmtId="10" fontId="0" fillId="6" borderId="0" xfId="0" applyNumberFormat="1" applyFill="1" applyBorder="1"/>
    <xf numFmtId="0" fontId="2" fillId="0" borderId="22" xfId="0" applyFont="1" applyBorder="1"/>
    <xf numFmtId="0" fontId="3" fillId="4" borderId="12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0" xfId="0" applyFont="1" applyFill="1" applyBorder="1"/>
    <xf numFmtId="43" fontId="0" fillId="2" borderId="0" xfId="2" applyFont="1" applyFill="1" applyBorder="1"/>
    <xf numFmtId="1" fontId="3" fillId="0" borderId="32" xfId="0" applyNumberFormat="1" applyFont="1" applyBorder="1"/>
    <xf numFmtId="0" fontId="4" fillId="0" borderId="4" xfId="0" applyFont="1" applyFill="1" applyBorder="1"/>
    <xf numFmtId="164" fontId="0" fillId="11" borderId="1" xfId="0" applyNumberFormat="1" applyFont="1" applyFill="1" applyBorder="1"/>
    <xf numFmtId="0" fontId="0" fillId="11" borderId="1" xfId="0" applyFill="1" applyBorder="1"/>
    <xf numFmtId="164" fontId="0" fillId="11" borderId="11" xfId="0" applyNumberFormat="1" applyFont="1" applyFill="1" applyBorder="1"/>
    <xf numFmtId="0" fontId="3" fillId="4" borderId="8" xfId="0" applyFont="1" applyFill="1" applyBorder="1" applyAlignment="1"/>
    <xf numFmtId="0" fontId="3" fillId="4" borderId="3" xfId="0" applyFont="1" applyFill="1" applyBorder="1" applyAlignment="1"/>
    <xf numFmtId="46" fontId="3" fillId="0" borderId="0" xfId="0" applyNumberFormat="1" applyFont="1" applyBorder="1" applyAlignment="1">
      <alignment horizontal="left"/>
    </xf>
    <xf numFmtId="0" fontId="1" fillId="4" borderId="9" xfId="0" applyFont="1" applyFill="1" applyBorder="1"/>
    <xf numFmtId="0" fontId="3" fillId="4" borderId="21" xfId="0" applyFont="1" applyFill="1" applyBorder="1" applyAlignment="1"/>
    <xf numFmtId="2" fontId="0" fillId="4" borderId="12" xfId="0" applyNumberFormat="1" applyFill="1" applyBorder="1"/>
    <xf numFmtId="2" fontId="0" fillId="4" borderId="13" xfId="0" applyNumberFormat="1" applyFill="1" applyBorder="1"/>
    <xf numFmtId="2" fontId="0" fillId="4" borderId="14" xfId="0" applyNumberFormat="1" applyFill="1" applyBorder="1"/>
    <xf numFmtId="0" fontId="0" fillId="15" borderId="0" xfId="0" applyFill="1" applyBorder="1"/>
    <xf numFmtId="0" fontId="7" fillId="4" borderId="13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7" fillId="4" borderId="10" xfId="0" applyFont="1" applyFill="1" applyBorder="1" applyAlignment="1">
      <alignment horizontal="right"/>
    </xf>
    <xf numFmtId="168" fontId="2" fillId="0" borderId="0" xfId="2" applyNumberFormat="1" applyFont="1" applyAlignment="1">
      <alignment horizontal="left"/>
    </xf>
    <xf numFmtId="0" fontId="32" fillId="0" borderId="0" xfId="0" applyFont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2" fontId="0" fillId="0" borderId="11" xfId="0" applyNumberFormat="1" applyFill="1" applyBorder="1"/>
    <xf numFmtId="0" fontId="3" fillId="0" borderId="21" xfId="0" applyFont="1" applyBorder="1"/>
    <xf numFmtId="0" fontId="3" fillId="0" borderId="3" xfId="0" applyFont="1" applyBorder="1"/>
    <xf numFmtId="0" fontId="3" fillId="0" borderId="4" xfId="0" quotePrefix="1" applyFont="1" applyBorder="1"/>
    <xf numFmtId="10" fontId="13" fillId="0" borderId="14" xfId="1" applyNumberFormat="1" applyFont="1" applyFill="1" applyBorder="1"/>
    <xf numFmtId="0" fontId="24" fillId="0" borderId="1" xfId="0" applyFont="1" applyFill="1" applyBorder="1"/>
    <xf numFmtId="0" fontId="13" fillId="0" borderId="1" xfId="0" applyFont="1" applyFill="1" applyBorder="1"/>
    <xf numFmtId="0" fontId="24" fillId="2" borderId="9" xfId="0" applyFont="1" applyFill="1" applyBorder="1"/>
    <xf numFmtId="0" fontId="24" fillId="0" borderId="9" xfId="0" applyFont="1" applyFill="1" applyBorder="1"/>
    <xf numFmtId="166" fontId="0" fillId="0" borderId="12" xfId="0" applyNumberFormat="1" applyBorder="1"/>
    <xf numFmtId="0" fontId="16" fillId="12" borderId="1" xfId="0" applyFont="1" applyFill="1" applyBorder="1" applyProtection="1">
      <protection locked="0"/>
    </xf>
    <xf numFmtId="0" fontId="3" fillId="12" borderId="29" xfId="0" applyFont="1" applyFill="1" applyBorder="1" applyProtection="1">
      <protection locked="0"/>
    </xf>
    <xf numFmtId="0" fontId="0" fillId="12" borderId="30" xfId="0" applyFill="1" applyBorder="1" applyProtection="1">
      <protection locked="0"/>
    </xf>
    <xf numFmtId="0" fontId="3" fillId="12" borderId="13" xfId="0" applyFont="1" applyFill="1" applyBorder="1" applyProtection="1">
      <protection locked="0"/>
    </xf>
    <xf numFmtId="0" fontId="16" fillId="12" borderId="16" xfId="0" applyFont="1" applyFill="1" applyBorder="1" applyProtection="1">
      <protection locked="0"/>
    </xf>
    <xf numFmtId="0" fontId="0" fillId="12" borderId="13" xfId="0" applyFill="1" applyBorder="1" applyProtection="1">
      <protection locked="0"/>
    </xf>
    <xf numFmtId="0" fontId="0" fillId="12" borderId="1" xfId="0" applyFill="1" applyBorder="1" applyProtection="1">
      <protection locked="0"/>
    </xf>
    <xf numFmtId="1" fontId="0" fillId="12" borderId="1" xfId="0" applyNumberFormat="1" applyFill="1" applyBorder="1" applyProtection="1">
      <protection locked="0"/>
    </xf>
    <xf numFmtId="10" fontId="0" fillId="12" borderId="13" xfId="1" applyNumberFormat="1" applyFont="1" applyFill="1" applyBorder="1" applyProtection="1">
      <protection locked="0"/>
    </xf>
    <xf numFmtId="10" fontId="0" fillId="12" borderId="1" xfId="1" applyNumberFormat="1" applyFont="1" applyFill="1" applyBorder="1" applyProtection="1">
      <protection locked="0"/>
    </xf>
    <xf numFmtId="10" fontId="0" fillId="12" borderId="16" xfId="1" applyNumberFormat="1" applyFont="1" applyFill="1" applyBorder="1" applyProtection="1">
      <protection locked="0"/>
    </xf>
    <xf numFmtId="0" fontId="0" fillId="12" borderId="1" xfId="0" applyFont="1" applyFill="1" applyBorder="1" applyProtection="1">
      <protection locked="0"/>
    </xf>
    <xf numFmtId="0" fontId="4" fillId="12" borderId="30" xfId="0" applyFont="1" applyFill="1" applyBorder="1" applyProtection="1">
      <protection locked="0"/>
    </xf>
    <xf numFmtId="0" fontId="31" fillId="0" borderId="4" xfId="0" applyFont="1" applyBorder="1"/>
    <xf numFmtId="1" fontId="0" fillId="0" borderId="5" xfId="0" applyNumberFormat="1" applyBorder="1"/>
    <xf numFmtId="1" fontId="0" fillId="5" borderId="5" xfId="0" applyNumberFormat="1" applyFill="1" applyBorder="1"/>
    <xf numFmtId="164" fontId="0" fillId="5" borderId="5" xfId="0" applyNumberFormat="1" applyFill="1" applyBorder="1"/>
    <xf numFmtId="164" fontId="0" fillId="5" borderId="7" xfId="0" applyNumberFormat="1" applyFill="1" applyBorder="1"/>
    <xf numFmtId="1" fontId="0" fillId="5" borderId="0" xfId="0" applyNumberFormat="1" applyFill="1" applyBorder="1"/>
    <xf numFmtId="10" fontId="0" fillId="13" borderId="0" xfId="1" applyNumberFormat="1" applyFont="1" applyFill="1" applyBorder="1" applyProtection="1">
      <protection locked="0"/>
    </xf>
    <xf numFmtId="0" fontId="16" fillId="0" borderId="44" xfId="0" applyFont="1" applyBorder="1"/>
    <xf numFmtId="10" fontId="0" fillId="13" borderId="45" xfId="1" applyNumberFormat="1" applyFont="1" applyFill="1" applyBorder="1" applyProtection="1">
      <protection locked="0"/>
    </xf>
    <xf numFmtId="0" fontId="16" fillId="0" borderId="43" xfId="0" applyFont="1" applyBorder="1"/>
    <xf numFmtId="0" fontId="0" fillId="13" borderId="0" xfId="0" applyFill="1" applyBorder="1" applyAlignment="1"/>
    <xf numFmtId="0" fontId="3" fillId="13" borderId="12" xfId="0" applyFont="1" applyFill="1" applyBorder="1" applyAlignment="1"/>
    <xf numFmtId="0" fontId="16" fillId="0" borderId="5" xfId="0" applyFont="1" applyBorder="1"/>
    <xf numFmtId="0" fontId="8" fillId="0" borderId="0" xfId="0" quotePrefix="1" applyFont="1" applyFill="1" applyBorder="1"/>
    <xf numFmtId="164" fontId="0" fillId="0" borderId="8" xfId="0" applyNumberFormat="1" applyBorder="1"/>
    <xf numFmtId="0" fontId="33" fillId="0" borderId="4" xfId="0" applyFont="1" applyFill="1" applyBorder="1"/>
    <xf numFmtId="0" fontId="4" fillId="2" borderId="2" xfId="0" applyFont="1" applyFill="1" applyBorder="1"/>
    <xf numFmtId="164" fontId="0" fillId="2" borderId="8" xfId="0" applyNumberFormat="1" applyFill="1" applyBorder="1"/>
    <xf numFmtId="0" fontId="14" fillId="2" borderId="22" xfId="0" applyFont="1" applyFill="1" applyBorder="1"/>
    <xf numFmtId="0" fontId="16" fillId="2" borderId="24" xfId="0" applyFont="1" applyFill="1" applyBorder="1"/>
    <xf numFmtId="0" fontId="16" fillId="2" borderId="23" xfId="0" applyFont="1" applyFill="1" applyBorder="1"/>
    <xf numFmtId="0" fontId="16" fillId="0" borderId="1" xfId="0" applyFont="1" applyBorder="1"/>
    <xf numFmtId="0" fontId="16" fillId="0" borderId="10" xfId="0" applyFont="1" applyBorder="1"/>
    <xf numFmtId="0" fontId="3" fillId="0" borderId="32" xfId="0" applyFont="1" applyBorder="1"/>
    <xf numFmtId="10" fontId="28" fillId="13" borderId="0" xfId="1" applyNumberFormat="1" applyFont="1" applyFill="1" applyBorder="1"/>
    <xf numFmtId="0" fontId="16" fillId="13" borderId="0" xfId="0" applyFont="1" applyFill="1" applyBorder="1"/>
    <xf numFmtId="0" fontId="16" fillId="13" borderId="0" xfId="0" applyFont="1" applyFill="1" applyBorder="1" applyAlignment="1">
      <alignment horizontal="right"/>
    </xf>
    <xf numFmtId="10" fontId="0" fillId="13" borderId="5" xfId="1" applyNumberFormat="1" applyFont="1" applyFill="1" applyBorder="1" applyProtection="1">
      <protection locked="0"/>
    </xf>
    <xf numFmtId="164" fontId="0" fillId="5" borderId="11" xfId="0" applyNumberFormat="1" applyFill="1" applyBorder="1"/>
    <xf numFmtId="10" fontId="0" fillId="13" borderId="7" xfId="1" applyNumberFormat="1" applyFont="1" applyFill="1" applyBorder="1" applyProtection="1">
      <protection locked="0"/>
    </xf>
    <xf numFmtId="1" fontId="0" fillId="13" borderId="0" xfId="0" applyNumberFormat="1" applyFill="1" applyBorder="1"/>
    <xf numFmtId="1" fontId="0" fillId="15" borderId="5" xfId="0" applyNumberFormat="1" applyFill="1" applyBorder="1"/>
    <xf numFmtId="164" fontId="0" fillId="15" borderId="7" xfId="0" applyNumberFormat="1" applyFill="1" applyBorder="1"/>
    <xf numFmtId="0" fontId="16" fillId="15" borderId="5" xfId="0" applyFont="1" applyFill="1" applyBorder="1"/>
    <xf numFmtId="2" fontId="0" fillId="15" borderId="5" xfId="0" applyNumberFormat="1" applyFill="1" applyBorder="1"/>
    <xf numFmtId="9" fontId="0" fillId="6" borderId="0" xfId="1" applyFont="1" applyFill="1" applyBorder="1"/>
    <xf numFmtId="9" fontId="0" fillId="6" borderId="5" xfId="1" applyFont="1" applyFill="1" applyBorder="1"/>
    <xf numFmtId="9" fontId="0" fillId="6" borderId="1" xfId="1" applyFont="1" applyFill="1" applyBorder="1"/>
    <xf numFmtId="9" fontId="0" fillId="6" borderId="10" xfId="1" applyFont="1" applyFill="1" applyBorder="1"/>
    <xf numFmtId="0" fontId="11" fillId="6" borderId="0" xfId="0" applyFont="1" applyFill="1" applyBorder="1"/>
    <xf numFmtId="0" fontId="11" fillId="6" borderId="11" xfId="0" applyFont="1" applyFill="1" applyBorder="1"/>
    <xf numFmtId="0" fontId="0" fillId="6" borderId="7" xfId="0" applyFill="1" applyBorder="1"/>
    <xf numFmtId="0" fontId="0" fillId="13" borderId="4" xfId="0" applyFill="1" applyBorder="1"/>
    <xf numFmtId="0" fontId="0" fillId="13" borderId="6" xfId="0" applyFill="1" applyBorder="1"/>
    <xf numFmtId="2" fontId="0" fillId="8" borderId="0" xfId="0" applyNumberFormat="1" applyFill="1" applyBorder="1"/>
    <xf numFmtId="0" fontId="16" fillId="0" borderId="31" xfId="0" applyFont="1" applyBorder="1"/>
    <xf numFmtId="0" fontId="14" fillId="0" borderId="12" xfId="0" applyFont="1" applyBorder="1"/>
    <xf numFmtId="0" fontId="16" fillId="0" borderId="21" xfId="0" applyFont="1" applyBorder="1"/>
    <xf numFmtId="0" fontId="16" fillId="0" borderId="12" xfId="0" applyFont="1" applyBorder="1"/>
    <xf numFmtId="2" fontId="0" fillId="8" borderId="11" xfId="0" applyNumberFormat="1" applyFill="1" applyBorder="1"/>
    <xf numFmtId="0" fontId="16" fillId="15" borderId="23" xfId="0" applyFont="1" applyFill="1" applyBorder="1"/>
    <xf numFmtId="0" fontId="16" fillId="15" borderId="0" xfId="0" applyFont="1" applyFill="1" applyBorder="1"/>
    <xf numFmtId="1" fontId="28" fillId="15" borderId="0" xfId="0" applyNumberFormat="1" applyFont="1" applyFill="1" applyBorder="1"/>
    <xf numFmtId="0" fontId="28" fillId="15" borderId="0" xfId="0" applyFont="1" applyFill="1" applyBorder="1"/>
    <xf numFmtId="164" fontId="28" fillId="15" borderId="0" xfId="0" applyNumberFormat="1" applyFont="1" applyFill="1" applyBorder="1"/>
    <xf numFmtId="1" fontId="28" fillId="15" borderId="11" xfId="0" applyNumberFormat="1" applyFont="1" applyFill="1" applyBorder="1"/>
    <xf numFmtId="1" fontId="0" fillId="15" borderId="11" xfId="0" applyNumberFormat="1" applyFill="1" applyBorder="1"/>
    <xf numFmtId="2" fontId="0" fillId="0" borderId="14" xfId="0" applyNumberFormat="1" applyFill="1" applyBorder="1"/>
    <xf numFmtId="2" fontId="0" fillId="0" borderId="35" xfId="0" applyNumberFormat="1" applyBorder="1" applyAlignment="1"/>
    <xf numFmtId="2" fontId="0" fillId="0" borderId="30" xfId="0" applyNumberFormat="1" applyBorder="1" applyAlignment="1"/>
    <xf numFmtId="0" fontId="24" fillId="0" borderId="0" xfId="0" applyFont="1" applyFill="1" applyBorder="1" applyAlignment="1">
      <alignment horizontal="center"/>
    </xf>
    <xf numFmtId="0" fontId="28" fillId="0" borderId="0" xfId="0" quotePrefix="1" applyFont="1" applyFill="1" applyBorder="1"/>
    <xf numFmtId="0" fontId="3" fillId="2" borderId="15" xfId="0" applyFont="1" applyFill="1" applyBorder="1" applyAlignment="1">
      <alignment horizontal="center"/>
    </xf>
    <xf numFmtId="164" fontId="1" fillId="6" borderId="4" xfId="0" applyNumberFormat="1" applyFont="1" applyFill="1" applyBorder="1"/>
    <xf numFmtId="10" fontId="1" fillId="6" borderId="0" xfId="1" applyNumberFormat="1" applyFont="1" applyFill="1" applyBorder="1"/>
    <xf numFmtId="164" fontId="1" fillId="6" borderId="12" xfId="0" applyNumberFormat="1" applyFont="1" applyFill="1" applyBorder="1"/>
    <xf numFmtId="164" fontId="1" fillId="7" borderId="4" xfId="0" applyNumberFormat="1" applyFont="1" applyFill="1" applyBorder="1"/>
    <xf numFmtId="10" fontId="1" fillId="7" borderId="0" xfId="1" applyNumberFormat="1" applyFont="1" applyFill="1" applyBorder="1"/>
    <xf numFmtId="164" fontId="1" fillId="7" borderId="12" xfId="0" applyNumberFormat="1" applyFont="1" applyFill="1" applyBorder="1"/>
    <xf numFmtId="10" fontId="1" fillId="7" borderId="5" xfId="1" applyNumberFormat="1" applyFont="1" applyFill="1" applyBorder="1"/>
    <xf numFmtId="164" fontId="1" fillId="6" borderId="9" xfId="0" applyNumberFormat="1" applyFont="1" applyFill="1" applyBorder="1"/>
    <xf numFmtId="10" fontId="1" fillId="6" borderId="1" xfId="1" applyNumberFormat="1" applyFont="1" applyFill="1" applyBorder="1"/>
    <xf numFmtId="164" fontId="1" fillId="6" borderId="13" xfId="0" applyNumberFormat="1" applyFont="1" applyFill="1" applyBorder="1"/>
    <xf numFmtId="164" fontId="1" fillId="7" borderId="9" xfId="0" applyNumberFormat="1" applyFont="1" applyFill="1" applyBorder="1"/>
    <xf numFmtId="10" fontId="1" fillId="7" borderId="1" xfId="1" applyNumberFormat="1" applyFont="1" applyFill="1" applyBorder="1"/>
    <xf numFmtId="164" fontId="1" fillId="7" borderId="13" xfId="0" applyNumberFormat="1" applyFont="1" applyFill="1" applyBorder="1"/>
    <xf numFmtId="0" fontId="1" fillId="7" borderId="1" xfId="0" applyFont="1" applyFill="1" applyBorder="1"/>
    <xf numFmtId="0" fontId="1" fillId="7" borderId="10" xfId="0" applyFont="1" applyFill="1" applyBorder="1"/>
    <xf numFmtId="164" fontId="1" fillId="6" borderId="6" xfId="0" applyNumberFormat="1" applyFont="1" applyFill="1" applyBorder="1"/>
    <xf numFmtId="10" fontId="1" fillId="6" borderId="11" xfId="1" applyNumberFormat="1" applyFont="1" applyFill="1" applyBorder="1"/>
    <xf numFmtId="164" fontId="1" fillId="6" borderId="14" xfId="0" applyNumberFormat="1" applyFont="1" applyFill="1" applyBorder="1"/>
    <xf numFmtId="164" fontId="1" fillId="7" borderId="6" xfId="0" applyNumberFormat="1" applyFont="1" applyFill="1" applyBorder="1"/>
    <xf numFmtId="10" fontId="1" fillId="7" borderId="11" xfId="1" applyNumberFormat="1" applyFont="1" applyFill="1" applyBorder="1"/>
    <xf numFmtId="164" fontId="1" fillId="7" borderId="14" xfId="0" applyNumberFormat="1" applyFont="1" applyFill="1" applyBorder="1"/>
    <xf numFmtId="10" fontId="1" fillId="7" borderId="7" xfId="1" applyNumberFormat="1" applyFont="1" applyFill="1" applyBorder="1"/>
    <xf numFmtId="10" fontId="13" fillId="0" borderId="0" xfId="0" applyNumberFormat="1" applyFont="1" applyFill="1" applyBorder="1"/>
    <xf numFmtId="0" fontId="24" fillId="0" borderId="13" xfId="0" applyFont="1" applyFill="1" applyBorder="1"/>
    <xf numFmtId="164" fontId="27" fillId="0" borderId="0" xfId="0" applyNumberFormat="1" applyFont="1" applyFill="1" applyBorder="1"/>
    <xf numFmtId="164" fontId="27" fillId="0" borderId="11" xfId="0" applyNumberFormat="1" applyFont="1" applyFill="1" applyBorder="1"/>
    <xf numFmtId="0" fontId="34" fillId="0" borderId="29" xfId="0" applyFont="1" applyFill="1" applyBorder="1" applyAlignment="1"/>
    <xf numFmtId="0" fontId="26" fillId="0" borderId="30" xfId="0" applyFont="1" applyFill="1" applyBorder="1" applyAlignment="1"/>
    <xf numFmtId="0" fontId="0" fillId="0" borderId="42" xfId="0" applyBorder="1"/>
    <xf numFmtId="10" fontId="13" fillId="0" borderId="1" xfId="0" applyNumberFormat="1" applyFont="1" applyFill="1" applyBorder="1"/>
    <xf numFmtId="0" fontId="24" fillId="0" borderId="16" xfId="0" applyFont="1" applyFill="1" applyBorder="1"/>
    <xf numFmtId="9" fontId="13" fillId="0" borderId="15" xfId="0" applyNumberFormat="1" applyFont="1" applyFill="1" applyBorder="1"/>
    <xf numFmtId="0" fontId="0" fillId="0" borderId="42" xfId="0" applyFill="1" applyBorder="1"/>
    <xf numFmtId="9" fontId="15" fillId="0" borderId="15" xfId="1" applyFont="1" applyFill="1" applyBorder="1"/>
    <xf numFmtId="9" fontId="15" fillId="0" borderId="16" xfId="1" applyFont="1" applyFill="1" applyBorder="1"/>
    <xf numFmtId="10" fontId="0" fillId="0" borderId="13" xfId="0" applyNumberFormat="1" applyBorder="1"/>
    <xf numFmtId="0" fontId="24" fillId="0" borderId="13" xfId="0" applyFont="1" applyBorder="1"/>
    <xf numFmtId="0" fontId="24" fillId="0" borderId="1" xfId="0" applyFont="1" applyBorder="1"/>
    <xf numFmtId="9" fontId="35" fillId="6" borderId="0" xfId="0" applyNumberFormat="1" applyFont="1" applyFill="1" applyAlignment="1">
      <alignment horizontal="right" vertical="center"/>
    </xf>
    <xf numFmtId="9" fontId="36" fillId="6" borderId="5" xfId="0" applyNumberFormat="1" applyFont="1" applyFill="1" applyBorder="1" applyAlignment="1">
      <alignment horizontal="right" vertical="center"/>
    </xf>
    <xf numFmtId="9" fontId="36" fillId="6" borderId="11" xfId="0" applyNumberFormat="1" applyFont="1" applyFill="1" applyBorder="1" applyAlignment="1">
      <alignment horizontal="right" vertical="center"/>
    </xf>
    <xf numFmtId="9" fontId="36" fillId="6" borderId="7" xfId="0" applyNumberFormat="1" applyFont="1" applyFill="1" applyBorder="1" applyAlignment="1">
      <alignment horizontal="right" vertical="center"/>
    </xf>
    <xf numFmtId="2" fontId="0" fillId="0" borderId="13" xfId="0" applyNumberFormat="1" applyBorder="1"/>
    <xf numFmtId="0" fontId="3" fillId="2" borderId="21" xfId="0" applyFont="1" applyFill="1" applyBorder="1" applyAlignment="1"/>
    <xf numFmtId="10" fontId="0" fillId="0" borderId="13" xfId="0" applyNumberFormat="1" applyFill="1" applyBorder="1"/>
    <xf numFmtId="9" fontId="13" fillId="12" borderId="12" xfId="1" applyFont="1" applyFill="1" applyBorder="1"/>
    <xf numFmtId="9" fontId="13" fillId="12" borderId="14" xfId="1" applyFont="1" applyFill="1" applyBorder="1"/>
    <xf numFmtId="0" fontId="13" fillId="2" borderId="8" xfId="0" applyFont="1" applyFill="1" applyBorder="1"/>
    <xf numFmtId="10" fontId="13" fillId="0" borderId="14" xfId="1" applyNumberFormat="1" applyFont="1" applyBorder="1"/>
    <xf numFmtId="10" fontId="13" fillId="0" borderId="11" xfId="1" applyNumberFormat="1" applyFont="1" applyBorder="1"/>
    <xf numFmtId="0" fontId="2" fillId="2" borderId="4" xfId="0" applyFont="1" applyFill="1" applyBorder="1" applyAlignment="1">
      <alignment horizontal="left"/>
    </xf>
    <xf numFmtId="0" fontId="15" fillId="13" borderId="9" xfId="0" applyFont="1" applyFill="1" applyBorder="1" applyAlignment="1">
      <alignment horizontal="center"/>
    </xf>
    <xf numFmtId="0" fontId="15" fillId="13" borderId="0" xfId="0" applyFont="1" applyFill="1" applyBorder="1" applyAlignment="1">
      <alignment horizontal="center"/>
    </xf>
    <xf numFmtId="0" fontId="4" fillId="0" borderId="0" xfId="0" applyFont="1"/>
    <xf numFmtId="0" fontId="15" fillId="13" borderId="4" xfId="0" applyFont="1" applyFill="1" applyBorder="1" applyAlignment="1">
      <alignment horizontal="center"/>
    </xf>
    <xf numFmtId="0" fontId="15" fillId="13" borderId="12" xfId="0" applyFont="1" applyFill="1" applyBorder="1" applyAlignment="1">
      <alignment horizontal="center"/>
    </xf>
    <xf numFmtId="0" fontId="15" fillId="13" borderId="13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10" fontId="0" fillId="0" borderId="5" xfId="1" applyNumberFormat="1" applyFont="1" applyBorder="1"/>
    <xf numFmtId="0" fontId="3" fillId="2" borderId="26" xfId="0" applyFont="1" applyFill="1" applyBorder="1" applyAlignment="1"/>
    <xf numFmtId="9" fontId="0" fillId="6" borderId="11" xfId="1" applyFont="1" applyFill="1" applyBorder="1"/>
    <xf numFmtId="9" fontId="0" fillId="6" borderId="7" xfId="1" applyFont="1" applyFill="1" applyBorder="1"/>
    <xf numFmtId="10" fontId="0" fillId="0" borderId="45" xfId="1" applyNumberFormat="1" applyFont="1" applyBorder="1"/>
    <xf numFmtId="10" fontId="0" fillId="0" borderId="46" xfId="1" applyNumberFormat="1" applyFont="1" applyBorder="1"/>
    <xf numFmtId="0" fontId="16" fillId="2" borderId="44" xfId="0" applyFont="1" applyFill="1" applyBorder="1" applyAlignment="1">
      <alignment wrapText="1"/>
    </xf>
    <xf numFmtId="0" fontId="16" fillId="0" borderId="43" xfId="0" applyFont="1" applyBorder="1" applyAlignment="1">
      <alignment wrapText="1"/>
    </xf>
    <xf numFmtId="0" fontId="0" fillId="6" borderId="5" xfId="0" applyFont="1" applyFill="1" applyBorder="1"/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164" fontId="0" fillId="0" borderId="5" xfId="0" applyNumberFormat="1" applyBorder="1" applyAlignment="1"/>
    <xf numFmtId="164" fontId="0" fillId="0" borderId="7" xfId="0" applyNumberFormat="1" applyBorder="1" applyAlignment="1"/>
    <xf numFmtId="0" fontId="0" fillId="16" borderId="5" xfId="0" applyFill="1" applyBorder="1"/>
    <xf numFmtId="0" fontId="37" fillId="0" borderId="0" xfId="0" applyFont="1" applyFill="1" applyBorder="1"/>
    <xf numFmtId="164" fontId="0" fillId="0" borderId="2" xfId="0" applyNumberFormat="1" applyBorder="1"/>
    <xf numFmtId="164" fontId="0" fillId="0" borderId="4" xfId="0" applyNumberFormat="1" applyBorder="1"/>
    <xf numFmtId="9" fontId="0" fillId="0" borderId="5" xfId="0" applyNumberFormat="1" applyBorder="1"/>
    <xf numFmtId="9" fontId="36" fillId="6" borderId="0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3" fillId="0" borderId="34" xfId="0" applyNumberFormat="1" applyFont="1" applyBorder="1"/>
    <xf numFmtId="164" fontId="0" fillId="2" borderId="5" xfId="0" applyNumberFormat="1" applyFont="1" applyFill="1" applyBorder="1"/>
    <xf numFmtId="164" fontId="0" fillId="2" borderId="10" xfId="0" applyNumberFormat="1" applyFont="1" applyFill="1" applyBorder="1"/>
    <xf numFmtId="0" fontId="0" fillId="11" borderId="0" xfId="0" applyFill="1" applyBorder="1"/>
    <xf numFmtId="164" fontId="0" fillId="0" borderId="0" xfId="0" quotePrefix="1" applyNumberFormat="1" applyBorder="1"/>
    <xf numFmtId="164" fontId="0" fillId="0" borderId="5" xfId="0" quotePrefix="1" applyNumberFormat="1" applyBorder="1"/>
    <xf numFmtId="43" fontId="0" fillId="2" borderId="5" xfId="2" applyFont="1" applyFill="1" applyBorder="1"/>
    <xf numFmtId="9" fontId="0" fillId="6" borderId="6" xfId="0" applyNumberFormat="1" applyFill="1" applyBorder="1"/>
    <xf numFmtId="9" fontId="0" fillId="6" borderId="46" xfId="0" applyNumberFormat="1" applyFill="1" applyBorder="1"/>
    <xf numFmtId="2" fontId="0" fillId="14" borderId="18" xfId="0" applyNumberFormat="1" applyFill="1" applyBorder="1"/>
    <xf numFmtId="9" fontId="5" fillId="0" borderId="14" xfId="0" applyNumberFormat="1" applyFont="1" applyFill="1" applyBorder="1"/>
    <xf numFmtId="10" fontId="5" fillId="0" borderId="14" xfId="0" applyNumberFormat="1" applyFont="1" applyFill="1" applyBorder="1"/>
    <xf numFmtId="10" fontId="0" fillId="0" borderId="11" xfId="0" applyNumberFormat="1" applyBorder="1"/>
    <xf numFmtId="2" fontId="0" fillId="14" borderId="14" xfId="0" applyNumberFormat="1" applyFill="1" applyBorder="1"/>
    <xf numFmtId="2" fontId="0" fillId="14" borderId="20" xfId="0" applyNumberFormat="1" applyFill="1" applyBorder="1"/>
    <xf numFmtId="9" fontId="13" fillId="0" borderId="16" xfId="0" applyNumberFormat="1" applyFont="1" applyFill="1" applyBorder="1"/>
    <xf numFmtId="10" fontId="13" fillId="0" borderId="42" xfId="0" applyNumberFormat="1" applyFont="1" applyBorder="1"/>
    <xf numFmtId="10" fontId="13" fillId="0" borderId="15" xfId="0" applyNumberFormat="1" applyFont="1" applyBorder="1"/>
    <xf numFmtId="0" fontId="24" fillId="0" borderId="16" xfId="0" applyFont="1" applyBorder="1"/>
    <xf numFmtId="10" fontId="13" fillId="0" borderId="29" xfId="1" applyNumberFormat="1" applyFont="1" applyBorder="1"/>
    <xf numFmtId="166" fontId="0" fillId="0" borderId="30" xfId="1" applyNumberFormat="1" applyFont="1" applyFill="1" applyBorder="1"/>
    <xf numFmtId="0" fontId="13" fillId="0" borderId="12" xfId="0" applyFont="1" applyFill="1" applyBorder="1"/>
    <xf numFmtId="0" fontId="13" fillId="0" borderId="15" xfId="0" applyFont="1" applyBorder="1"/>
    <xf numFmtId="0" fontId="0" fillId="12" borderId="2" xfId="0" applyFill="1" applyBorder="1" applyProtection="1">
      <protection locked="0"/>
    </xf>
    <xf numFmtId="0" fontId="16" fillId="12" borderId="8" xfId="0" applyFont="1" applyFill="1" applyBorder="1" applyProtection="1">
      <protection locked="0"/>
    </xf>
    <xf numFmtId="0" fontId="16" fillId="12" borderId="3" xfId="0" applyFont="1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0" fillId="12" borderId="6" xfId="0" applyFill="1" applyBorder="1" applyProtection="1">
      <protection locked="0"/>
    </xf>
    <xf numFmtId="10" fontId="13" fillId="0" borderId="15" xfId="0" applyNumberFormat="1" applyFont="1" applyFill="1" applyBorder="1"/>
    <xf numFmtId="10" fontId="13" fillId="0" borderId="16" xfId="0" applyNumberFormat="1" applyFont="1" applyFill="1" applyBorder="1"/>
    <xf numFmtId="10" fontId="13" fillId="17" borderId="12" xfId="1" applyNumberFormat="1" applyFont="1" applyFill="1" applyBorder="1"/>
    <xf numFmtId="9" fontId="13" fillId="17" borderId="5" xfId="1" applyFont="1" applyFill="1" applyBorder="1"/>
    <xf numFmtId="9" fontId="13" fillId="17" borderId="7" xfId="1" applyFont="1" applyFill="1" applyBorder="1"/>
    <xf numFmtId="10" fontId="13" fillId="17" borderId="14" xfId="1" applyNumberFormat="1" applyFont="1" applyFill="1" applyBorder="1"/>
    <xf numFmtId="10" fontId="0" fillId="17" borderId="0" xfId="1" applyNumberFormat="1" applyFont="1" applyFill="1" applyBorder="1"/>
    <xf numFmtId="10" fontId="0" fillId="17" borderId="5" xfId="1" applyNumberFormat="1" applyFont="1" applyFill="1" applyBorder="1"/>
    <xf numFmtId="10" fontId="0" fillId="17" borderId="11" xfId="1" applyNumberFormat="1" applyFont="1" applyFill="1" applyBorder="1"/>
    <xf numFmtId="10" fontId="0" fillId="17" borderId="7" xfId="1" applyNumberFormat="1" applyFont="1" applyFill="1" applyBorder="1"/>
    <xf numFmtId="10" fontId="0" fillId="17" borderId="11" xfId="0" applyNumberFormat="1" applyFill="1" applyBorder="1"/>
    <xf numFmtId="10" fontId="15" fillId="0" borderId="42" xfId="1" applyNumberFormat="1" applyFont="1" applyFill="1" applyBorder="1"/>
    <xf numFmtId="10" fontId="15" fillId="0" borderId="15" xfId="1" applyNumberFormat="1" applyFont="1" applyFill="1" applyBorder="1"/>
    <xf numFmtId="10" fontId="15" fillId="0" borderId="16" xfId="1" applyNumberFormat="1" applyFont="1" applyFill="1" applyBorder="1"/>
    <xf numFmtId="164" fontId="0" fillId="16" borderId="0" xfId="0" applyNumberFormat="1" applyFill="1"/>
    <xf numFmtId="0" fontId="37" fillId="0" borderId="0" xfId="0" applyFont="1"/>
    <xf numFmtId="164" fontId="0" fillId="13" borderId="5" xfId="0" applyNumberFormat="1" applyFill="1" applyBorder="1"/>
    <xf numFmtId="164" fontId="0" fillId="6" borderId="0" xfId="0" applyNumberFormat="1" applyFont="1" applyFill="1" applyBorder="1"/>
    <xf numFmtId="164" fontId="0" fillId="6" borderId="5" xfId="0" applyNumberFormat="1" applyFont="1" applyFill="1" applyBorder="1"/>
    <xf numFmtId="164" fontId="0" fillId="6" borderId="0" xfId="0" applyNumberFormat="1" applyFill="1" applyBorder="1"/>
    <xf numFmtId="164" fontId="0" fillId="6" borderId="5" xfId="0" applyNumberFormat="1" applyFill="1" applyBorder="1"/>
    <xf numFmtId="10" fontId="0" fillId="17" borderId="0" xfId="0" applyNumberFormat="1" applyFill="1" applyBorder="1"/>
    <xf numFmtId="10" fontId="0" fillId="17" borderId="5" xfId="0" applyNumberFormat="1" applyFill="1" applyBorder="1"/>
    <xf numFmtId="10" fontId="0" fillId="17" borderId="1" xfId="0" applyNumberFormat="1" applyFill="1" applyBorder="1"/>
    <xf numFmtId="10" fontId="0" fillId="17" borderId="10" xfId="0" applyNumberFormat="1" applyFill="1" applyBorder="1"/>
    <xf numFmtId="9" fontId="0" fillId="17" borderId="0" xfId="1" applyFont="1" applyFill="1" applyBorder="1"/>
    <xf numFmtId="9" fontId="0" fillId="17" borderId="5" xfId="1" applyFont="1" applyFill="1" applyBorder="1"/>
    <xf numFmtId="10" fontId="0" fillId="17" borderId="1" xfId="1" applyNumberFormat="1" applyFont="1" applyFill="1" applyBorder="1"/>
    <xf numFmtId="10" fontId="0" fillId="17" borderId="10" xfId="1" applyNumberFormat="1" applyFont="1" applyFill="1" applyBorder="1"/>
    <xf numFmtId="0" fontId="0" fillId="17" borderId="0" xfId="0" applyFill="1"/>
    <xf numFmtId="43" fontId="0" fillId="0" borderId="5" xfId="2" applyFont="1" applyBorder="1"/>
    <xf numFmtId="43" fontId="0" fillId="0" borderId="10" xfId="2" applyFont="1" applyBorder="1"/>
    <xf numFmtId="43" fontId="0" fillId="0" borderId="5" xfId="2" applyFont="1" applyFill="1" applyBorder="1"/>
    <xf numFmtId="43" fontId="0" fillId="0" borderId="10" xfId="2" applyFont="1" applyFill="1" applyBorder="1"/>
    <xf numFmtId="43" fontId="0" fillId="0" borderId="11" xfId="2" applyFont="1" applyBorder="1"/>
    <xf numFmtId="43" fontId="0" fillId="0" borderId="7" xfId="2" applyFont="1" applyBorder="1"/>
    <xf numFmtId="0" fontId="0" fillId="6" borderId="0" xfId="0" applyFill="1"/>
    <xf numFmtId="10" fontId="0" fillId="6" borderId="47" xfId="0" applyNumberFormat="1" applyFill="1" applyBorder="1"/>
    <xf numFmtId="10" fontId="0" fillId="6" borderId="48" xfId="0" applyNumberFormat="1" applyFill="1" applyBorder="1"/>
    <xf numFmtId="0" fontId="3" fillId="6" borderId="49" xfId="0" applyFont="1" applyFill="1" applyBorder="1" applyAlignment="1">
      <alignment horizontal="center"/>
    </xf>
    <xf numFmtId="0" fontId="3" fillId="6" borderId="17" xfId="0" applyFont="1" applyFill="1" applyBorder="1"/>
    <xf numFmtId="0" fontId="0" fillId="2" borderId="8" xfId="0" applyFill="1" applyBorder="1" applyAlignment="1"/>
    <xf numFmtId="2" fontId="0" fillId="17" borderId="0" xfId="0" applyNumberFormat="1" applyFill="1" applyBorder="1"/>
    <xf numFmtId="2" fontId="0" fillId="17" borderId="12" xfId="0" applyNumberFormat="1" applyFill="1" applyBorder="1"/>
    <xf numFmtId="2" fontId="0" fillId="17" borderId="18" xfId="0" applyNumberFormat="1" applyFill="1" applyBorder="1"/>
    <xf numFmtId="2" fontId="0" fillId="17" borderId="1" xfId="0" applyNumberFormat="1" applyFill="1" applyBorder="1"/>
    <xf numFmtId="2" fontId="0" fillId="17" borderId="13" xfId="0" applyNumberFormat="1" applyFill="1" applyBorder="1"/>
    <xf numFmtId="2" fontId="0" fillId="17" borderId="17" xfId="0" applyNumberFormat="1" applyFill="1" applyBorder="1"/>
    <xf numFmtId="2" fontId="0" fillId="6" borderId="0" xfId="0" applyNumberFormat="1" applyFill="1" applyBorder="1"/>
    <xf numFmtId="2" fontId="1" fillId="17" borderId="0" xfId="0" applyNumberFormat="1" applyFont="1" applyFill="1" applyBorder="1"/>
    <xf numFmtId="2" fontId="0" fillId="17" borderId="0" xfId="0" applyNumberFormat="1" applyFill="1"/>
    <xf numFmtId="10" fontId="0" fillId="17" borderId="7" xfId="0" applyNumberFormat="1" applyFill="1" applyBorder="1"/>
    <xf numFmtId="0" fontId="24" fillId="0" borderId="0" xfId="0" applyFont="1" applyFill="1" applyBorder="1"/>
    <xf numFmtId="10" fontId="13" fillId="0" borderId="15" xfId="1" applyNumberFormat="1" applyFont="1" applyBorder="1"/>
    <xf numFmtId="0" fontId="13" fillId="0" borderId="35" xfId="0" applyFont="1" applyBorder="1"/>
    <xf numFmtId="0" fontId="13" fillId="0" borderId="30" xfId="0" applyFont="1" applyFill="1" applyBorder="1"/>
    <xf numFmtId="0" fontId="13" fillId="6" borderId="13" xfId="0" applyFont="1" applyFill="1" applyBorder="1"/>
    <xf numFmtId="166" fontId="13" fillId="0" borderId="1" xfId="1" applyNumberFormat="1" applyFont="1" applyFill="1" applyBorder="1"/>
    <xf numFmtId="0" fontId="14" fillId="0" borderId="1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24" fillId="2" borderId="32" xfId="0" applyFont="1" applyFill="1" applyBorder="1"/>
    <xf numFmtId="0" fontId="24" fillId="2" borderId="33" xfId="0" applyFont="1" applyFill="1" applyBorder="1"/>
    <xf numFmtId="0" fontId="13" fillId="2" borderId="32" xfId="0" applyFont="1" applyFill="1" applyBorder="1"/>
    <xf numFmtId="0" fontId="0" fillId="2" borderId="32" xfId="0" applyFill="1" applyBorder="1"/>
    <xf numFmtId="0" fontId="0" fillId="2" borderId="41" xfId="0" applyFill="1" applyBorder="1"/>
    <xf numFmtId="10" fontId="13" fillId="12" borderId="12" xfId="0" applyNumberFormat="1" applyFont="1" applyFill="1" applyBorder="1"/>
    <xf numFmtId="10" fontId="13" fillId="12" borderId="13" xfId="0" applyNumberFormat="1" applyFont="1" applyFill="1" applyBorder="1"/>
    <xf numFmtId="166" fontId="13" fillId="12" borderId="12" xfId="0" applyNumberFormat="1" applyFont="1" applyFill="1" applyBorder="1"/>
    <xf numFmtId="166" fontId="13" fillId="12" borderId="13" xfId="0" applyNumberFormat="1" applyFont="1" applyFill="1" applyBorder="1"/>
    <xf numFmtId="10" fontId="13" fillId="12" borderId="0" xfId="0" applyNumberFormat="1" applyFont="1" applyFill="1" applyBorder="1"/>
    <xf numFmtId="10" fontId="13" fillId="12" borderId="1" xfId="0" applyNumberFormat="1" applyFont="1" applyFill="1" applyBorder="1"/>
    <xf numFmtId="9" fontId="13" fillId="12" borderId="0" xfId="0" applyNumberFormat="1" applyFont="1" applyFill="1" applyBorder="1"/>
    <xf numFmtId="9" fontId="13" fillId="12" borderId="1" xfId="0" applyNumberFormat="1" applyFont="1" applyFill="1" applyBorder="1"/>
    <xf numFmtId="10" fontId="15" fillId="12" borderId="0" xfId="1" applyNumberFormat="1" applyFont="1" applyFill="1" applyBorder="1"/>
    <xf numFmtId="10" fontId="15" fillId="12" borderId="13" xfId="1" applyNumberFormat="1" applyFont="1" applyFill="1" applyBorder="1"/>
    <xf numFmtId="9" fontId="15" fillId="12" borderId="0" xfId="1" applyFont="1" applyFill="1" applyBorder="1"/>
    <xf numFmtId="9" fontId="15" fillId="12" borderId="1" xfId="1" applyFont="1" applyFill="1" applyBorder="1"/>
    <xf numFmtId="10" fontId="13" fillId="12" borderId="12" xfId="1" applyNumberFormat="1" applyFont="1" applyFill="1" applyBorder="1"/>
    <xf numFmtId="0" fontId="3" fillId="12" borderId="13" xfId="0" applyFont="1" applyFill="1" applyBorder="1"/>
    <xf numFmtId="0" fontId="3" fillId="12" borderId="1" xfId="0" applyFont="1" applyFill="1" applyBorder="1"/>
    <xf numFmtId="10" fontId="13" fillId="12" borderId="14" xfId="1" applyNumberFormat="1" applyFont="1" applyFill="1" applyBorder="1"/>
    <xf numFmtId="0" fontId="13" fillId="0" borderId="29" xfId="0" applyFont="1" applyBorder="1"/>
    <xf numFmtId="9" fontId="13" fillId="0" borderId="12" xfId="1" applyFont="1" applyBorder="1"/>
    <xf numFmtId="9" fontId="13" fillId="0" borderId="13" xfId="1" applyFont="1" applyBorder="1"/>
    <xf numFmtId="9" fontId="13" fillId="0" borderId="12" xfId="1" applyFont="1" applyFill="1" applyBorder="1"/>
    <xf numFmtId="9" fontId="11" fillId="0" borderId="12" xfId="1" applyFont="1" applyFill="1" applyBorder="1"/>
    <xf numFmtId="9" fontId="11" fillId="0" borderId="13" xfId="1" applyFont="1" applyFill="1" applyBorder="1"/>
    <xf numFmtId="0" fontId="13" fillId="0" borderId="14" xfId="0" applyFont="1" applyBorder="1"/>
    <xf numFmtId="9" fontId="13" fillId="13" borderId="0" xfId="1" applyFont="1" applyFill="1" applyBorder="1"/>
    <xf numFmtId="9" fontId="13" fillId="13" borderId="11" xfId="1" applyFont="1" applyFill="1" applyBorder="1"/>
    <xf numFmtId="9" fontId="13" fillId="0" borderId="12" xfId="1" applyNumberFormat="1" applyFont="1" applyBorder="1"/>
    <xf numFmtId="9" fontId="13" fillId="0" borderId="5" xfId="1" applyNumberFormat="1" applyFont="1" applyBorder="1"/>
    <xf numFmtId="9" fontId="13" fillId="0" borderId="14" xfId="1" applyNumberFormat="1" applyFont="1" applyBorder="1"/>
    <xf numFmtId="9" fontId="13" fillId="0" borderId="7" xfId="1" applyNumberFormat="1" applyFont="1" applyBorder="1"/>
    <xf numFmtId="9" fontId="13" fillId="13" borderId="5" xfId="1" applyFont="1" applyFill="1" applyBorder="1"/>
    <xf numFmtId="9" fontId="13" fillId="13" borderId="7" xfId="1" applyFont="1" applyFill="1" applyBorder="1"/>
    <xf numFmtId="10" fontId="13" fillId="13" borderId="0" xfId="1" applyNumberFormat="1" applyFont="1" applyFill="1" applyBorder="1"/>
    <xf numFmtId="0" fontId="13" fillId="13" borderId="0" xfId="0" applyFont="1" applyFill="1" applyBorder="1"/>
    <xf numFmtId="0" fontId="13" fillId="13" borderId="1" xfId="0" applyFont="1" applyFill="1" applyBorder="1"/>
    <xf numFmtId="2" fontId="1" fillId="0" borderId="15" xfId="0" applyNumberFormat="1" applyFont="1" applyBorder="1"/>
    <xf numFmtId="2" fontId="1" fillId="0" borderId="16" xfId="0" applyNumberFormat="1" applyFont="1" applyBorder="1"/>
    <xf numFmtId="0" fontId="0" fillId="0" borderId="44" xfId="0" applyBorder="1"/>
    <xf numFmtId="0" fontId="0" fillId="0" borderId="45" xfId="0" applyBorder="1"/>
    <xf numFmtId="0" fontId="3" fillId="0" borderId="45" xfId="0" applyFont="1" applyBorder="1" applyAlignment="1"/>
    <xf numFmtId="0" fontId="3" fillId="0" borderId="43" xfId="0" applyFont="1" applyBorder="1" applyAlignment="1">
      <alignment horizontal="center"/>
    </xf>
    <xf numFmtId="10" fontId="0" fillId="0" borderId="46" xfId="0" applyNumberFormat="1" applyBorder="1"/>
    <xf numFmtId="0" fontId="3" fillId="0" borderId="43" xfId="0" applyFont="1" applyBorder="1"/>
    <xf numFmtId="0" fontId="0" fillId="0" borderId="50" xfId="0" applyBorder="1"/>
    <xf numFmtId="0" fontId="13" fillId="0" borderId="3" xfId="0" applyFont="1" applyBorder="1"/>
    <xf numFmtId="0" fontId="38" fillId="0" borderId="50" xfId="0" applyFont="1" applyBorder="1"/>
    <xf numFmtId="0" fontId="3" fillId="0" borderId="50" xfId="0" applyFont="1" applyBorder="1" applyAlignment="1">
      <alignment horizontal="center"/>
    </xf>
    <xf numFmtId="0" fontId="38" fillId="2" borderId="50" xfId="0" applyFont="1" applyFill="1" applyBorder="1"/>
    <xf numFmtId="10" fontId="0" fillId="0" borderId="50" xfId="0" applyNumberFormat="1" applyBorder="1"/>
    <xf numFmtId="0" fontId="0" fillId="2" borderId="50" xfId="0" applyFill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30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" xfId="0" applyNumberFormat="1" applyFont="1" applyFill="1" applyBorder="1"/>
    <xf numFmtId="2" fontId="1" fillId="2" borderId="16" xfId="0" applyNumberFormat="1" applyFont="1" applyFill="1" applyBorder="1"/>
    <xf numFmtId="2" fontId="1" fillId="0" borderId="29" xfId="0" applyNumberFormat="1" applyFont="1" applyFill="1" applyBorder="1"/>
    <xf numFmtId="9" fontId="0" fillId="0" borderId="1" xfId="0" applyNumberFormat="1" applyBorder="1"/>
    <xf numFmtId="9" fontId="0" fillId="0" borderId="13" xfId="0" applyNumberFormat="1" applyBorder="1"/>
    <xf numFmtId="9" fontId="0" fillId="0" borderId="10" xfId="0" applyNumberFormat="1" applyBorder="1"/>
    <xf numFmtId="9" fontId="0" fillId="0" borderId="14" xfId="0" applyNumberFormat="1" applyBorder="1"/>
    <xf numFmtId="9" fontId="0" fillId="0" borderId="11" xfId="0" applyNumberFormat="1" applyBorder="1"/>
    <xf numFmtId="9" fontId="0" fillId="0" borderId="7" xfId="0" applyNumberFormat="1" applyBorder="1"/>
    <xf numFmtId="0" fontId="19" fillId="0" borderId="4" xfId="0" applyFont="1" applyBorder="1"/>
    <xf numFmtId="0" fontId="0" fillId="3" borderId="0" xfId="0" quotePrefix="1" applyFill="1" applyBorder="1"/>
    <xf numFmtId="0" fontId="0" fillId="2" borderId="0" xfId="0" quotePrefix="1" applyFill="1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6" fillId="12" borderId="29" xfId="0" applyFont="1" applyFill="1" applyBorder="1" applyAlignment="1" applyProtection="1">
      <alignment horizontal="center"/>
      <protection locked="0"/>
    </xf>
    <xf numFmtId="0" fontId="16" fillId="12" borderId="30" xfId="0" applyFont="1" applyFill="1" applyBorder="1" applyAlignment="1" applyProtection="1">
      <alignment horizontal="center"/>
      <protection locked="0"/>
    </xf>
    <xf numFmtId="0" fontId="16" fillId="12" borderId="42" xfId="0" applyFont="1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2" borderId="50" xfId="0" applyFill="1" applyBorder="1" applyAlignment="1">
      <alignment horizontal="center" vertical="top" wrapText="1"/>
    </xf>
    <xf numFmtId="0" fontId="0" fillId="0" borderId="33" xfId="0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2" borderId="33" xfId="0" applyFill="1" applyBorder="1" applyAlignment="1">
      <alignment horizontal="center" vertical="top" wrapText="1"/>
    </xf>
    <xf numFmtId="0" fontId="0" fillId="2" borderId="41" xfId="0" applyFill="1" applyBorder="1" applyAlignment="1">
      <alignment horizontal="center" vertical="top" wrapText="1"/>
    </xf>
    <xf numFmtId="0" fontId="24" fillId="2" borderId="8" xfId="0" applyFont="1" applyFill="1" applyBorder="1" applyAlignment="1">
      <alignment horizontal="center"/>
    </xf>
    <xf numFmtId="0" fontId="24" fillId="0" borderId="12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4" fillId="2" borderId="31" xfId="0" applyFont="1" applyFill="1" applyBorder="1" applyAlignment="1">
      <alignment horizontal="center"/>
    </xf>
    <xf numFmtId="0" fontId="24" fillId="2" borderId="13" xfId="0" applyFont="1" applyFill="1" applyBorder="1" applyAlignment="1">
      <alignment horizontal="center"/>
    </xf>
    <xf numFmtId="0" fontId="24" fillId="2" borderId="24" xfId="0" applyFont="1" applyFill="1" applyBorder="1" applyAlignment="1">
      <alignment horizontal="center"/>
    </xf>
    <xf numFmtId="0" fontId="24" fillId="2" borderId="10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24" fillId="2" borderId="21" xfId="0" applyFont="1" applyFill="1" applyBorder="1" applyAlignment="1">
      <alignment horizontal="center"/>
    </xf>
    <xf numFmtId="0" fontId="24" fillId="2" borderId="26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2" borderId="21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15" fillId="7" borderId="15" xfId="0" applyFont="1" applyFill="1" applyBorder="1" applyAlignment="1">
      <alignment horizontal="center"/>
    </xf>
    <xf numFmtId="0" fontId="15" fillId="7" borderId="5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center"/>
    </xf>
    <xf numFmtId="0" fontId="15" fillId="6" borderId="1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18" borderId="8" xfId="0" applyFill="1" applyBorder="1"/>
    <xf numFmtId="0" fontId="0" fillId="18" borderId="3" xfId="0" applyFill="1" applyBorder="1"/>
    <xf numFmtId="0" fontId="3" fillId="18" borderId="12" xfId="0" applyFont="1" applyFill="1" applyBorder="1" applyAlignment="1"/>
    <xf numFmtId="0" fontId="0" fillId="18" borderId="0" xfId="0" applyFill="1" applyBorder="1" applyAlignment="1"/>
    <xf numFmtId="0" fontId="0" fillId="18" borderId="5" xfId="0" applyFill="1" applyBorder="1" applyAlignment="1"/>
    <xf numFmtId="0" fontId="3" fillId="18" borderId="0" xfId="0" applyFont="1" applyFill="1" applyBorder="1" applyAlignment="1"/>
    <xf numFmtId="0" fontId="3" fillId="18" borderId="5" xfId="0" applyFont="1" applyFill="1" applyBorder="1" applyAlignment="1"/>
    <xf numFmtId="0" fontId="3" fillId="18" borderId="13" xfId="0" applyFont="1" applyFill="1" applyBorder="1" applyAlignment="1">
      <alignment horizontal="right"/>
    </xf>
    <xf numFmtId="0" fontId="3" fillId="18" borderId="1" xfId="0" applyFont="1" applyFill="1" applyBorder="1" applyAlignment="1">
      <alignment horizontal="right"/>
    </xf>
    <xf numFmtId="0" fontId="3" fillId="18" borderId="13" xfId="0" applyFont="1" applyFill="1" applyBorder="1"/>
    <xf numFmtId="0" fontId="3" fillId="18" borderId="10" xfId="0" applyFont="1" applyFill="1" applyBorder="1"/>
    <xf numFmtId="9" fontId="0" fillId="18" borderId="12" xfId="1" applyFont="1" applyFill="1" applyBorder="1"/>
    <xf numFmtId="9" fontId="0" fillId="18" borderId="0" xfId="1" applyFont="1" applyFill="1" applyBorder="1"/>
    <xf numFmtId="9" fontId="0" fillId="18" borderId="5" xfId="1" applyFont="1" applyFill="1" applyBorder="1"/>
    <xf numFmtId="9" fontId="0" fillId="18" borderId="14" xfId="1" applyFont="1" applyFill="1" applyBorder="1"/>
    <xf numFmtId="9" fontId="0" fillId="18" borderId="11" xfId="1" applyFont="1" applyFill="1" applyBorder="1"/>
    <xf numFmtId="9" fontId="0" fillId="18" borderId="7" xfId="1" applyFont="1" applyFill="1" applyBorder="1"/>
  </cellXfs>
  <cellStyles count="4">
    <cellStyle name="Komma" xfId="2" builtinId="3"/>
    <cellStyle name="Normal" xfId="0" builtinId="0"/>
    <cellStyle name="Normal_Ark1" xfId="3"/>
    <cellStyle name="Pro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Husholdninger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0.13927193883373273"/>
                  <c:y val="-0.251987685728616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   </a:t>
                    </a:r>
                    <a:r>
                      <a:rPr lang="en-US" sz="900"/>
                      <a:t>Underholdning
35%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'Øvr forudsæt'!$B$56:$B$60</c:f>
              <c:strCache>
                <c:ptCount val="5"/>
                <c:pt idx="0">
                  <c:v>    Lys</c:v>
                </c:pt>
                <c:pt idx="1">
                  <c:v>    Køl/frys, vask/opvask, madlavning. </c:v>
                </c:pt>
                <c:pt idx="2">
                  <c:v>    Underholdning</c:v>
                </c:pt>
                <c:pt idx="3">
                  <c:v>    Opvarmning (pumper, varmt vand mv.)</c:v>
                </c:pt>
                <c:pt idx="4">
                  <c:v>    Diverse</c:v>
                </c:pt>
              </c:strCache>
            </c:strRef>
          </c:cat>
          <c:val>
            <c:numRef>
              <c:f>'Øvr forudsæt'!$E$56:$E$60</c:f>
              <c:numCache>
                <c:formatCode>0%</c:formatCode>
                <c:ptCount val="5"/>
                <c:pt idx="0">
                  <c:v>0.1</c:v>
                </c:pt>
                <c:pt idx="1">
                  <c:v>0.36</c:v>
                </c:pt>
                <c:pt idx="2">
                  <c:v>0.35</c:v>
                </c:pt>
                <c:pt idx="3">
                  <c:v>0.17</c:v>
                </c:pt>
                <c:pt idx="4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Transport - netto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 energi 2050'!$A$111</c:f>
              <c:strCache>
                <c:ptCount val="1"/>
                <c:pt idx="0">
                  <c:v>Frozen</c:v>
                </c:pt>
              </c:strCache>
            </c:strRef>
          </c:tx>
          <c:marker>
            <c:symbol val="none"/>
          </c:marker>
          <c:cat>
            <c:numRef>
              <c:f>'Res energi 2050'!$B$110:$D$110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2050'!$B$111:$D$111</c:f>
              <c:numCache>
                <c:formatCode>General</c:formatCode>
                <c:ptCount val="3"/>
                <c:pt idx="0" formatCode="0.0">
                  <c:v>52.641499999999994</c:v>
                </c:pt>
                <c:pt idx="1">
                  <c:v>70.223952587392418</c:v>
                </c:pt>
                <c:pt idx="2" formatCode="0.0">
                  <c:v>83.286549435718271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 energi 2050'!$A$112</c:f>
              <c:strCache>
                <c:ptCount val="1"/>
                <c:pt idx="0">
                  <c:v>Reference</c:v>
                </c:pt>
              </c:strCache>
            </c:strRef>
          </c:tx>
          <c:marker>
            <c:symbol val="none"/>
          </c:marker>
          <c:cat>
            <c:numRef>
              <c:f>'Res energi 2050'!$B$110:$D$110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2050'!$B$112:$D$112</c:f>
              <c:numCache>
                <c:formatCode>General</c:formatCode>
                <c:ptCount val="3"/>
                <c:pt idx="0" formatCode="0.0">
                  <c:v>52.641499999999994</c:v>
                </c:pt>
                <c:pt idx="1">
                  <c:v>66.099760298462513</c:v>
                </c:pt>
                <c:pt idx="2" formatCode="0.0">
                  <c:v>76.168316145331403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 energi 2050'!$A$113</c:f>
              <c:strCache>
                <c:ptCount val="1"/>
                <c:pt idx="0">
                  <c:v>Moderat</c:v>
                </c:pt>
              </c:strCache>
            </c:strRef>
          </c:tx>
          <c:marker>
            <c:symbol val="none"/>
          </c:marker>
          <c:cat>
            <c:numRef>
              <c:f>'Res energi 2050'!$B$110:$D$110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2050'!$B$113:$D$113</c:f>
              <c:numCache>
                <c:formatCode>General</c:formatCode>
                <c:ptCount val="3"/>
                <c:pt idx="0" formatCode="0.0">
                  <c:v>52.641499999999994</c:v>
                </c:pt>
                <c:pt idx="1">
                  <c:v>66.099760298462513</c:v>
                </c:pt>
                <c:pt idx="2" formatCode="0.0">
                  <c:v>76.168316145331403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 energi 2050'!$A$114</c:f>
              <c:strCache>
                <c:ptCount val="1"/>
                <c:pt idx="0">
                  <c:v>Store</c:v>
                </c:pt>
              </c:strCache>
            </c:strRef>
          </c:tx>
          <c:marker>
            <c:symbol val="none"/>
          </c:marker>
          <c:cat>
            <c:numRef>
              <c:f>'Res energi 2050'!$B$110:$D$110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2050'!$B$114:$D$114</c:f>
              <c:numCache>
                <c:formatCode>General</c:formatCode>
                <c:ptCount val="3"/>
                <c:pt idx="0" formatCode="0.0">
                  <c:v>52.641499999999994</c:v>
                </c:pt>
                <c:pt idx="1">
                  <c:v>66.099760298462513</c:v>
                </c:pt>
                <c:pt idx="2" formatCode="0.0">
                  <c:v>76.168316145331403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06016"/>
        <c:axId val="276007552"/>
      </c:lineChart>
      <c:catAx>
        <c:axId val="2760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007552"/>
        <c:crosses val="autoZero"/>
        <c:auto val="1"/>
        <c:lblAlgn val="ctr"/>
        <c:lblOffset val="100"/>
        <c:noMultiLvlLbl val="0"/>
      </c:catAx>
      <c:valAx>
        <c:axId val="2760075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7600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Husholdninger - nødv. el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 energi 2050'!$A$121</c:f>
              <c:strCache>
                <c:ptCount val="1"/>
                <c:pt idx="0">
                  <c:v>Frozen</c:v>
                </c:pt>
              </c:strCache>
            </c:strRef>
          </c:tx>
          <c:marker>
            <c:symbol val="none"/>
          </c:marker>
          <c:cat>
            <c:numRef>
              <c:f>'Res energi 2050'!$B$120:$D$120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2050'!$B$121:$D$121</c:f>
              <c:numCache>
                <c:formatCode>0.0</c:formatCode>
                <c:ptCount val="3"/>
                <c:pt idx="0">
                  <c:v>31.303970478820005</c:v>
                </c:pt>
                <c:pt idx="1">
                  <c:v>38.769020054425006</c:v>
                </c:pt>
                <c:pt idx="2">
                  <c:v>43.61581202671811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 energi 2050'!$A$122</c:f>
              <c:strCache>
                <c:ptCount val="1"/>
                <c:pt idx="0">
                  <c:v>Reference</c:v>
                </c:pt>
              </c:strCache>
            </c:strRef>
          </c:tx>
          <c:marker>
            <c:symbol val="none"/>
          </c:marker>
          <c:cat>
            <c:numRef>
              <c:f>'Res energi 2050'!$B$120:$D$120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2050'!$B$122:$D$122</c:f>
              <c:numCache>
                <c:formatCode>0.0</c:formatCode>
                <c:ptCount val="3"/>
                <c:pt idx="0">
                  <c:v>31.303970478820005</c:v>
                </c:pt>
                <c:pt idx="1">
                  <c:v>31.146548620021143</c:v>
                </c:pt>
                <c:pt idx="2">
                  <c:v>28.756128710033501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 energi 2050'!$A$123</c:f>
              <c:strCache>
                <c:ptCount val="1"/>
                <c:pt idx="0">
                  <c:v>Moderat</c:v>
                </c:pt>
              </c:strCache>
            </c:strRef>
          </c:tx>
          <c:marker>
            <c:symbol val="none"/>
          </c:marker>
          <c:cat>
            <c:numRef>
              <c:f>'Res energi 2050'!$B$120:$D$120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2050'!$B$123:$D$123</c:f>
              <c:numCache>
                <c:formatCode>0.0</c:formatCode>
                <c:ptCount val="3"/>
                <c:pt idx="0">
                  <c:v>31.303970478820005</c:v>
                </c:pt>
                <c:pt idx="1">
                  <c:v>28.98814941262977</c:v>
                </c:pt>
                <c:pt idx="2">
                  <c:v>24.069761266802349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 energi 2050'!$A$124</c:f>
              <c:strCache>
                <c:ptCount val="1"/>
                <c:pt idx="0">
                  <c:v>Store</c:v>
                </c:pt>
              </c:strCache>
            </c:strRef>
          </c:tx>
          <c:marker>
            <c:symbol val="none"/>
          </c:marker>
          <c:cat>
            <c:numRef>
              <c:f>'Res energi 2050'!$B$120:$D$120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2050'!$B$124:$D$124</c:f>
              <c:numCache>
                <c:formatCode>0.0</c:formatCode>
                <c:ptCount val="3"/>
                <c:pt idx="0">
                  <c:v>31.303970478820005</c:v>
                </c:pt>
                <c:pt idx="1">
                  <c:v>27.258843840298443</c:v>
                </c:pt>
                <c:pt idx="2">
                  <c:v>20.343180699244311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51072"/>
        <c:axId val="276052608"/>
      </c:lineChart>
      <c:catAx>
        <c:axId val="27605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052608"/>
        <c:crosses val="autoZero"/>
        <c:auto val="1"/>
        <c:lblAlgn val="ctr"/>
        <c:lblOffset val="100"/>
        <c:noMultiLvlLbl val="0"/>
      </c:catAx>
      <c:valAx>
        <c:axId val="2760526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760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Handel og service - nødv. el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 energi 2050'!$A$128</c:f>
              <c:strCache>
                <c:ptCount val="1"/>
                <c:pt idx="0">
                  <c:v>Frozen</c:v>
                </c:pt>
              </c:strCache>
            </c:strRef>
          </c:tx>
          <c:marker>
            <c:symbol val="none"/>
          </c:marker>
          <c:cat>
            <c:numRef>
              <c:f>'Res energi 2050'!$B$127:$D$127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2050'!$B$128:$D$128</c:f>
              <c:numCache>
                <c:formatCode>0.0</c:formatCode>
                <c:ptCount val="3"/>
                <c:pt idx="0">
                  <c:v>33.263706394195452</c:v>
                </c:pt>
                <c:pt idx="1">
                  <c:v>43.583440733516269</c:v>
                </c:pt>
                <c:pt idx="2">
                  <c:v>51.143374765494883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 energi 2050'!$A$129</c:f>
              <c:strCache>
                <c:ptCount val="1"/>
                <c:pt idx="0">
                  <c:v>Reference</c:v>
                </c:pt>
              </c:strCache>
            </c:strRef>
          </c:tx>
          <c:marker>
            <c:symbol val="none"/>
          </c:marker>
          <c:cat>
            <c:numRef>
              <c:f>'Res energi 2050'!$B$127:$D$127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2050'!$B$129:$D$129</c:f>
              <c:numCache>
                <c:formatCode>0.0</c:formatCode>
                <c:ptCount val="3"/>
                <c:pt idx="0">
                  <c:v>33.263706394195452</c:v>
                </c:pt>
                <c:pt idx="1">
                  <c:v>36.993713045413834</c:v>
                </c:pt>
                <c:pt idx="2">
                  <c:v>38.018492642147578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 energi 2050'!$A$130</c:f>
              <c:strCache>
                <c:ptCount val="1"/>
                <c:pt idx="0">
                  <c:v>Moderat</c:v>
                </c:pt>
              </c:strCache>
            </c:strRef>
          </c:tx>
          <c:marker>
            <c:symbol val="none"/>
          </c:marker>
          <c:cat>
            <c:numRef>
              <c:f>'Res energi 2050'!$B$127:$D$127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2050'!$B$130:$D$130</c:f>
              <c:numCache>
                <c:formatCode>0.0</c:formatCode>
                <c:ptCount val="3"/>
                <c:pt idx="0">
                  <c:v>33.263706394195452</c:v>
                </c:pt>
                <c:pt idx="1">
                  <c:v>35.166941470401866</c:v>
                </c:pt>
                <c:pt idx="2">
                  <c:v>34.172985035436739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 energi 2050'!$A$131</c:f>
              <c:strCache>
                <c:ptCount val="1"/>
                <c:pt idx="0">
                  <c:v>Store</c:v>
                </c:pt>
              </c:strCache>
            </c:strRef>
          </c:tx>
          <c:marker>
            <c:symbol val="none"/>
          </c:marker>
          <c:cat>
            <c:numRef>
              <c:f>'Res energi 2050'!$B$127:$D$127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2050'!$B$131:$D$131</c:f>
              <c:numCache>
                <c:formatCode>0.0</c:formatCode>
                <c:ptCount val="3"/>
                <c:pt idx="0">
                  <c:v>33.263706394195452</c:v>
                </c:pt>
                <c:pt idx="1">
                  <c:v>31.792645826723607</c:v>
                </c:pt>
                <c:pt idx="2">
                  <c:v>26.842212493301489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546112"/>
        <c:axId val="277547648"/>
      </c:lineChart>
      <c:catAx>
        <c:axId val="2775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547648"/>
        <c:crosses val="autoZero"/>
        <c:auto val="1"/>
        <c:lblAlgn val="ctr"/>
        <c:lblOffset val="100"/>
        <c:noMultiLvlLbl val="0"/>
      </c:catAx>
      <c:valAx>
        <c:axId val="2775476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7754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Fremstilling - nødv. el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 energi 2050'!$A$136</c:f>
              <c:strCache>
                <c:ptCount val="1"/>
                <c:pt idx="0">
                  <c:v>Frozen</c:v>
                </c:pt>
              </c:strCache>
            </c:strRef>
          </c:tx>
          <c:marker>
            <c:symbol val="none"/>
          </c:marker>
          <c:cat>
            <c:numRef>
              <c:f>'Res energi 2050'!$B$135:$D$135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2050'!$B$136:$D$136</c:f>
              <c:numCache>
                <c:formatCode>General</c:formatCode>
                <c:ptCount val="3"/>
                <c:pt idx="0" formatCode="0.0">
                  <c:v>27.863294250302356</c:v>
                </c:pt>
                <c:pt idx="1">
                  <c:v>36.879063667825321</c:v>
                </c:pt>
                <c:pt idx="2" formatCode="0.0">
                  <c:v>44.051580931467235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 energi 2050'!$A$137</c:f>
              <c:strCache>
                <c:ptCount val="1"/>
                <c:pt idx="0">
                  <c:v>Reference</c:v>
                </c:pt>
              </c:strCache>
            </c:strRef>
          </c:tx>
          <c:marker>
            <c:symbol val="none"/>
          </c:marker>
          <c:cat>
            <c:numRef>
              <c:f>'Res energi 2050'!$B$135:$D$135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2050'!$B$137:$D$137</c:f>
              <c:numCache>
                <c:formatCode>General</c:formatCode>
                <c:ptCount val="3"/>
                <c:pt idx="0" formatCode="0.0">
                  <c:v>27.863294250302356</c:v>
                </c:pt>
                <c:pt idx="1">
                  <c:v>31.690338574301123</c:v>
                </c:pt>
                <c:pt idx="2" formatCode="0.0">
                  <c:v>33.544661878272784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 energi 2050'!$A$138</c:f>
              <c:strCache>
                <c:ptCount val="1"/>
                <c:pt idx="0">
                  <c:v>Moderat</c:v>
                </c:pt>
              </c:strCache>
            </c:strRef>
          </c:tx>
          <c:marker>
            <c:symbol val="none"/>
          </c:marker>
          <c:cat>
            <c:numRef>
              <c:f>'Res energi 2050'!$B$135:$D$135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2050'!$B$138:$D$138</c:f>
              <c:numCache>
                <c:formatCode>General</c:formatCode>
                <c:ptCount val="3"/>
                <c:pt idx="0" formatCode="0.0">
                  <c:v>27.863294250302356</c:v>
                </c:pt>
                <c:pt idx="1">
                  <c:v>30.674665985420514</c:v>
                </c:pt>
                <c:pt idx="2" formatCode="0.0">
                  <c:v>31.388037485955483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 energi 2050'!$A$139</c:f>
              <c:strCache>
                <c:ptCount val="1"/>
                <c:pt idx="0">
                  <c:v>Store</c:v>
                </c:pt>
              </c:strCache>
            </c:strRef>
          </c:tx>
          <c:marker>
            <c:symbol val="none"/>
          </c:marker>
          <c:cat>
            <c:numRef>
              <c:f>'Res energi 2050'!$B$135:$D$135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2050'!$B$139:$D$139</c:f>
              <c:numCache>
                <c:formatCode>General</c:formatCode>
                <c:ptCount val="3"/>
                <c:pt idx="0" formatCode="0.0">
                  <c:v>27.863294250302356</c:v>
                </c:pt>
                <c:pt idx="1">
                  <c:v>28.572371913545435</c:v>
                </c:pt>
                <c:pt idx="2" formatCode="0.0">
                  <c:v>26.822746759632313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574784"/>
        <c:axId val="277576320"/>
      </c:lineChart>
      <c:catAx>
        <c:axId val="27757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576320"/>
        <c:crosses val="autoZero"/>
        <c:auto val="1"/>
        <c:lblAlgn val="ctr"/>
        <c:lblOffset val="100"/>
        <c:noMultiLvlLbl val="0"/>
      </c:catAx>
      <c:valAx>
        <c:axId val="2775763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7757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Annuiserede</a:t>
            </a:r>
            <a:r>
              <a:rPr lang="da-DK" baseline="0"/>
              <a:t> omkostninger</a:t>
            </a:r>
            <a:endParaRPr lang="da-DK"/>
          </a:p>
        </c:rich>
      </c:tx>
      <c:layout>
        <c:manualLayout>
          <c:xMode val="edge"/>
          <c:yMode val="edge"/>
          <c:x val="0.22440467668814118"/>
          <c:y val="2.77777777777779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Samlede årlige omkost.</c:v>
          </c:tx>
          <c:invertIfNegative val="0"/>
          <c:cat>
            <c:strRef>
              <c:f>'Økonomi 2050'!$B$14:$B$16</c:f>
              <c:strCache>
                <c:ptCount val="3"/>
                <c:pt idx="0">
                  <c:v>Reference</c:v>
                </c:pt>
                <c:pt idx="1">
                  <c:v>Moderat store besparelse</c:v>
                </c:pt>
                <c:pt idx="2">
                  <c:v>Store besparelser</c:v>
                </c:pt>
              </c:strCache>
            </c:strRef>
          </c:cat>
          <c:val>
            <c:numRef>
              <c:f>'Økonomi 2050'!$L$14:$L$16</c:f>
              <c:numCache>
                <c:formatCode>0.00</c:formatCode>
                <c:ptCount val="3"/>
                <c:pt idx="0">
                  <c:v>8.1291833056690166</c:v>
                </c:pt>
                <c:pt idx="1">
                  <c:v>12.923169964703668</c:v>
                </c:pt>
                <c:pt idx="2">
                  <c:v>22.449162041641227</c:v>
                </c:pt>
              </c:numCache>
            </c:numRef>
          </c:val>
        </c:ser>
        <c:ser>
          <c:idx val="1"/>
          <c:order val="1"/>
          <c:tx>
            <c:v>Ekstra ift. reference</c:v>
          </c:tx>
          <c:invertIfNegative val="0"/>
          <c:val>
            <c:numRef>
              <c:f>'Økonomi 2050'!$M$14:$M$16</c:f>
              <c:numCache>
                <c:formatCode>0.00</c:formatCode>
                <c:ptCount val="3"/>
                <c:pt idx="1">
                  <c:v>4.7939866590346512</c:v>
                </c:pt>
                <c:pt idx="2">
                  <c:v>14.31997873597221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036288"/>
        <c:axId val="279037824"/>
      </c:barChart>
      <c:catAx>
        <c:axId val="279036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79037824"/>
        <c:crosses val="autoZero"/>
        <c:auto val="1"/>
        <c:lblAlgn val="ctr"/>
        <c:lblOffset val="100"/>
        <c:noMultiLvlLbl val="0"/>
      </c:catAx>
      <c:valAx>
        <c:axId val="27903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Mia. kr.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7903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Årlige</a:t>
            </a:r>
            <a:r>
              <a:rPr lang="da-DK" baseline="0"/>
              <a:t> omkostninger</a:t>
            </a:r>
            <a:endParaRPr lang="da-DK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'Økonomi 2050'!$N$13</c:f>
              <c:strCache>
                <c:ptCount val="1"/>
                <c:pt idx="0">
                  <c:v>Nye byg</c:v>
                </c:pt>
              </c:strCache>
            </c:strRef>
          </c:tx>
          <c:invertIfNegative val="0"/>
          <c:val>
            <c:numRef>
              <c:f>'Økonomi 2050'!$N$14:$N$16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0"/>
          <c:order val="1"/>
          <c:tx>
            <c:strRef>
              <c:f>'Økonomi 2050'!$O$13</c:f>
              <c:strCache>
                <c:ptCount val="1"/>
                <c:pt idx="0">
                  <c:v>Eks. byg</c:v>
                </c:pt>
              </c:strCache>
            </c:strRef>
          </c:tx>
          <c:invertIfNegative val="0"/>
          <c:cat>
            <c:strRef>
              <c:f>'Økonomi 2050'!$B$14:$B$16</c:f>
              <c:strCache>
                <c:ptCount val="3"/>
                <c:pt idx="0">
                  <c:v>Reference</c:v>
                </c:pt>
                <c:pt idx="1">
                  <c:v>Moderat store besparelse</c:v>
                </c:pt>
                <c:pt idx="2">
                  <c:v>Store besparelser</c:v>
                </c:pt>
              </c:strCache>
            </c:strRef>
          </c:cat>
          <c:val>
            <c:numRef>
              <c:f>'Økonomi 2050'!$O$14:$O$16</c:f>
              <c:numCache>
                <c:formatCode>0.00</c:formatCode>
                <c:ptCount val="3"/>
                <c:pt idx="0">
                  <c:v>4.8356659025640756</c:v>
                </c:pt>
                <c:pt idx="1">
                  <c:v>7.4373756099050032</c:v>
                </c:pt>
                <c:pt idx="2">
                  <c:v>12.212071235485396</c:v>
                </c:pt>
              </c:numCache>
            </c:numRef>
          </c:val>
        </c:ser>
        <c:ser>
          <c:idx val="1"/>
          <c:order val="2"/>
          <c:tx>
            <c:strRef>
              <c:f>'Økonomi 2050'!$P$13</c:f>
              <c:strCache>
                <c:ptCount val="1"/>
                <c:pt idx="0">
                  <c:v>Apparater</c:v>
                </c:pt>
              </c:strCache>
            </c:strRef>
          </c:tx>
          <c:invertIfNegative val="0"/>
          <c:cat>
            <c:strRef>
              <c:f>'Økonomi 2050'!$B$14:$B$16</c:f>
              <c:strCache>
                <c:ptCount val="3"/>
                <c:pt idx="0">
                  <c:v>Reference</c:v>
                </c:pt>
                <c:pt idx="1">
                  <c:v>Moderat store besparelse</c:v>
                </c:pt>
                <c:pt idx="2">
                  <c:v>Store besparelser</c:v>
                </c:pt>
              </c:strCache>
            </c:strRef>
          </c:cat>
          <c:val>
            <c:numRef>
              <c:f>'Økonomi 2050'!$P$14:$P$16</c:f>
              <c:numCache>
                <c:formatCode>0.00</c:formatCode>
                <c:ptCount val="3"/>
                <c:pt idx="0">
                  <c:v>1.7821042875018196</c:v>
                </c:pt>
                <c:pt idx="1">
                  <c:v>2.9959236929760884</c:v>
                </c:pt>
                <c:pt idx="2">
                  <c:v>5.3390388809166964</c:v>
                </c:pt>
              </c:numCache>
            </c:numRef>
          </c:val>
        </c:ser>
        <c:ser>
          <c:idx val="2"/>
          <c:order val="3"/>
          <c:tx>
            <c:strRef>
              <c:f>'Økonomi 2050'!$Q$13</c:f>
              <c:strCache>
                <c:ptCount val="1"/>
                <c:pt idx="0">
                  <c:v>Prod. øv</c:v>
                </c:pt>
              </c:strCache>
            </c:strRef>
          </c:tx>
          <c:invertIfNegative val="0"/>
          <c:cat>
            <c:strRef>
              <c:f>'Økonomi 2050'!$B$14:$B$16</c:f>
              <c:strCache>
                <c:ptCount val="3"/>
                <c:pt idx="0">
                  <c:v>Reference</c:v>
                </c:pt>
                <c:pt idx="1">
                  <c:v>Moderat store besparelse</c:v>
                </c:pt>
                <c:pt idx="2">
                  <c:v>Store besparelser</c:v>
                </c:pt>
              </c:strCache>
            </c:strRef>
          </c:cat>
          <c:val>
            <c:numRef>
              <c:f>'Økonomi 2050'!$Q$14:$Q$16</c:f>
              <c:numCache>
                <c:formatCode>0.00</c:formatCode>
                <c:ptCount val="3"/>
                <c:pt idx="0">
                  <c:v>0.70687130729512437</c:v>
                </c:pt>
                <c:pt idx="1">
                  <c:v>1.3066461227046289</c:v>
                </c:pt>
                <c:pt idx="2">
                  <c:v>2.8013406995184917</c:v>
                </c:pt>
              </c:numCache>
            </c:numRef>
          </c:val>
        </c:ser>
        <c:ser>
          <c:idx val="3"/>
          <c:order val="4"/>
          <c:tx>
            <c:strRef>
              <c:f>'Økonomi 2050'!$R$13</c:f>
              <c:strCache>
                <c:ptCount val="1"/>
                <c:pt idx="0">
                  <c:v>Prod. el</c:v>
                </c:pt>
              </c:strCache>
            </c:strRef>
          </c:tx>
          <c:invertIfNegative val="0"/>
          <c:cat>
            <c:strRef>
              <c:f>'Økonomi 2050'!$B$14:$B$16</c:f>
              <c:strCache>
                <c:ptCount val="3"/>
                <c:pt idx="0">
                  <c:v>Reference</c:v>
                </c:pt>
                <c:pt idx="1">
                  <c:v>Moderat store besparelse</c:v>
                </c:pt>
                <c:pt idx="2">
                  <c:v>Store besparelser</c:v>
                </c:pt>
              </c:strCache>
            </c:strRef>
          </c:cat>
          <c:val>
            <c:numRef>
              <c:f>'Økonomi 2050'!$R$14:$R$16</c:f>
              <c:numCache>
                <c:formatCode>0.00</c:formatCode>
                <c:ptCount val="3"/>
                <c:pt idx="0">
                  <c:v>0.80454180830799582</c:v>
                </c:pt>
                <c:pt idx="1">
                  <c:v>1.1832245391179466</c:v>
                </c:pt>
                <c:pt idx="2">
                  <c:v>2.0967112257206422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9290624"/>
        <c:axId val="259292160"/>
      </c:barChart>
      <c:catAx>
        <c:axId val="259290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59292160"/>
        <c:crosses val="autoZero"/>
        <c:auto val="1"/>
        <c:lblAlgn val="ctr"/>
        <c:lblOffset val="100"/>
        <c:noMultiLvlLbl val="0"/>
      </c:catAx>
      <c:valAx>
        <c:axId val="25929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Mia. kr.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592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Gennemsnitsomkostning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Omkostninger!$A$9</c:f>
              <c:strCache>
                <c:ptCount val="1"/>
                <c:pt idx="0">
                  <c:v>Enfamilie</c:v>
                </c:pt>
              </c:strCache>
            </c:strRef>
          </c:tx>
          <c:marker>
            <c:symbol val="none"/>
          </c:marker>
          <c:cat>
            <c:numRef>
              <c:f>Omkostninger!$B$8:$BS$8</c:f>
              <c:numCache>
                <c:formatCode>0%</c:formatCode>
                <c:ptCount val="7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</c:numCache>
            </c:numRef>
          </c:cat>
          <c:val>
            <c:numRef>
              <c:f>Omkostninger!$B$9:$BS$9</c:f>
              <c:numCache>
                <c:formatCode>General</c:formatCode>
                <c:ptCount val="70"/>
                <c:pt idx="0">
                  <c:v>0.28513421817043355</c:v>
                </c:pt>
                <c:pt idx="1">
                  <c:v>0.29077797700881408</c:v>
                </c:pt>
                <c:pt idx="2">
                  <c:v>0.296533444690946</c:v>
                </c:pt>
                <c:pt idx="3">
                  <c:v>0.30240283230807719</c:v>
                </c:pt>
                <c:pt idx="4">
                  <c:v>0.30838839471633878</c:v>
                </c:pt>
                <c:pt idx="5">
                  <c:v>0.31449243140299826</c:v>
                </c:pt>
                <c:pt idx="6">
                  <c:v>0.32071728736985916</c:v>
                </c:pt>
                <c:pt idx="7">
                  <c:v>0.32706535403414544</c:v>
                </c:pt>
                <c:pt idx="8">
                  <c:v>0.3335390701472179</c:v>
                </c:pt>
                <c:pt idx="9">
                  <c:v>0.34014092273147484</c:v>
                </c:pt>
                <c:pt idx="10">
                  <c:v>0.34687344803579728</c:v>
                </c:pt>
                <c:pt idx="11">
                  <c:v>0.35373923250990552</c:v>
                </c:pt>
                <c:pt idx="12">
                  <c:v>0.36074091379800116</c:v>
                </c:pt>
                <c:pt idx="13">
                  <c:v>0.3678811817520774</c:v>
                </c:pt>
                <c:pt idx="14">
                  <c:v>0.37516277946528526</c:v>
                </c:pt>
                <c:pt idx="15">
                  <c:v>0.38258850432575425</c:v>
                </c:pt>
                <c:pt idx="16">
                  <c:v>0.39016120909127139</c:v>
                </c:pt>
                <c:pt idx="17">
                  <c:v>0.39788380298523146</c:v>
                </c:pt>
                <c:pt idx="18">
                  <c:v>0.40575925281428038</c:v>
                </c:pt>
                <c:pt idx="19">
                  <c:v>0.4137905841080799</c:v>
                </c:pt>
                <c:pt idx="20">
                  <c:v>0.42198088228163227</c:v>
                </c:pt>
                <c:pt idx="21">
                  <c:v>0.43033329382061147</c:v>
                </c:pt>
                <c:pt idx="22">
                  <c:v>0.4388510274901557</c:v>
                </c:pt>
                <c:pt idx="23">
                  <c:v>0.44753735556758578</c:v>
                </c:pt>
                <c:pt idx="24">
                  <c:v>0.45639561509952398</c:v>
                </c:pt>
                <c:pt idx="25">
                  <c:v>0.46542920918389452</c:v>
                </c:pt>
                <c:pt idx="26">
                  <c:v>0.47464160827729945</c:v>
                </c:pt>
                <c:pt idx="27">
                  <c:v>0.48403635152827246</c:v>
                </c:pt>
                <c:pt idx="28">
                  <c:v>0.49361704813692092</c:v>
                </c:pt>
                <c:pt idx="29">
                  <c:v>0.50338737874148143</c:v>
                </c:pt>
                <c:pt idx="30">
                  <c:v>0.5133510968323185</c:v>
                </c:pt>
                <c:pt idx="31">
                  <c:v>0.52351203019391157</c:v>
                </c:pt>
                <c:pt idx="32">
                  <c:v>0.53387408237538403</c:v>
                </c:pt>
                <c:pt idx="33">
                  <c:v>0.54444123419013868</c:v>
                </c:pt>
                <c:pt idx="34">
                  <c:v>0.55521754524517564</c:v>
                </c:pt>
                <c:pt idx="35">
                  <c:v>0.56620715550068124</c:v>
                </c:pt>
                <c:pt idx="36">
                  <c:v>0.5774142868604859</c:v>
                </c:pt>
                <c:pt idx="37">
                  <c:v>0.58884324479400252</c:v>
                </c:pt>
                <c:pt idx="38">
                  <c:v>0.60049841999026854</c:v>
                </c:pt>
                <c:pt idx="39">
                  <c:v>0.61238429004472783</c:v>
                </c:pt>
                <c:pt idx="40">
                  <c:v>0.62450542117939734</c:v>
                </c:pt>
                <c:pt idx="41">
                  <c:v>0.63686646999708429</c:v>
                </c:pt>
                <c:pt idx="42">
                  <c:v>0.6494721852703238</c:v>
                </c:pt>
                <c:pt idx="43">
                  <c:v>0.66232740976572513</c:v>
                </c:pt>
                <c:pt idx="44">
                  <c:v>0.67543708210442921</c:v>
                </c:pt>
                <c:pt idx="45">
                  <c:v>0.68880623865938984</c:v>
                </c:pt>
                <c:pt idx="46">
                  <c:v>0.70244001549020785</c:v>
                </c:pt>
                <c:pt idx="47">
                  <c:v>0.7163436503162649</c:v>
                </c:pt>
                <c:pt idx="48">
                  <c:v>0.730522484528908</c:v>
                </c:pt>
                <c:pt idx="49">
                  <c:v>0.74498196524346505</c:v>
                </c:pt>
                <c:pt idx="50">
                  <c:v>0.75972764739187604</c:v>
                </c:pt>
                <c:pt idx="51">
                  <c:v>0.77476519585674319</c:v>
                </c:pt>
                <c:pt idx="52">
                  <c:v>0.79010038764762258</c:v>
                </c:pt>
                <c:pt idx="53">
                  <c:v>0.80573911412039123</c:v>
                </c:pt>
                <c:pt idx="54">
                  <c:v>0.8216873832405418</c:v>
                </c:pt>
                <c:pt idx="55">
                  <c:v>0.83795132189127797</c:v>
                </c:pt>
                <c:pt idx="56">
                  <c:v>0.85453717822729192</c:v>
                </c:pt>
                <c:pt idx="57">
                  <c:v>0.87145132407513337</c:v>
                </c:pt>
                <c:pt idx="58">
                  <c:v>0.88870025738108827</c:v>
                </c:pt>
                <c:pt idx="59">
                  <c:v>0.90629060470750966</c:v>
                </c:pt>
                <c:pt idx="60">
                  <c:v>0.92422912377855948</c:v>
                </c:pt>
                <c:pt idx="61">
                  <c:v>0.94252270607633915</c:v>
                </c:pt>
                <c:pt idx="62">
                  <c:v>0.9611783794884059</c:v>
                </c:pt>
                <c:pt idx="63">
                  <c:v>0.98020331100769287</c:v>
                </c:pt>
                <c:pt idx="64">
                  <c:v>0.9996048094858685</c:v>
                </c:pt>
                <c:pt idx="65">
                  <c:v>1.0193903284411958</c:v>
                </c:pt>
                <c:pt idx="66">
                  <c:v>1.0395674689219667</c:v>
                </c:pt>
                <c:pt idx="67">
                  <c:v>1.0601439824266143</c:v>
                </c:pt>
                <c:pt idx="68">
                  <c:v>1.0811277738816256</c:v>
                </c:pt>
                <c:pt idx="69">
                  <c:v>1.1025269046783928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Omkostninger!$A$10</c:f>
              <c:strCache>
                <c:ptCount val="1"/>
                <c:pt idx="0">
                  <c:v>Etageboliger</c:v>
                </c:pt>
              </c:strCache>
            </c:strRef>
          </c:tx>
          <c:marker>
            <c:symbol val="none"/>
          </c:marker>
          <c:cat>
            <c:numRef>
              <c:f>Omkostninger!$B$8:$BS$8</c:f>
              <c:numCache>
                <c:formatCode>0%</c:formatCode>
                <c:ptCount val="7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</c:numCache>
            </c:numRef>
          </c:cat>
          <c:val>
            <c:numRef>
              <c:f>Omkostninger!$B$10:$BS$10</c:f>
              <c:numCache>
                <c:formatCode>General</c:formatCode>
                <c:ptCount val="70"/>
                <c:pt idx="0">
                  <c:v>0.26571842411119717</c:v>
                </c:pt>
                <c:pt idx="1">
                  <c:v>0.27062583714886174</c:v>
                </c:pt>
                <c:pt idx="2">
                  <c:v>0.27562388260241089</c:v>
                </c:pt>
                <c:pt idx="3">
                  <c:v>0.28071423431399856</c:v>
                </c:pt>
                <c:pt idx="4">
                  <c:v>0.28589859703908405</c:v>
                </c:pt>
                <c:pt idx="5">
                  <c:v>0.29117870701735366</c:v>
                </c:pt>
                <c:pt idx="6">
                  <c:v>0.29655633255418623</c:v>
                </c:pt>
                <c:pt idx="7">
                  <c:v>0.30203327461285728</c:v>
                </c:pt>
                <c:pt idx="8">
                  <c:v>0.30761136741768064</c:v>
                </c:pt>
                <c:pt idx="9">
                  <c:v>0.31329247906828878</c:v>
                </c:pt>
                <c:pt idx="10">
                  <c:v>0.31907851216525834</c:v>
                </c:pt>
                <c:pt idx="11">
                  <c:v>0.32497140444728967</c:v>
                </c:pt>
                <c:pt idx="12">
                  <c:v>0.33097312944015439</c:v>
                </c:pt>
                <c:pt idx="13">
                  <c:v>0.33708569711762781</c:v>
                </c:pt>
                <c:pt idx="14">
                  <c:v>0.34331115457462769</c:v>
                </c:pt>
                <c:pt idx="15">
                  <c:v>0.34965158671278523</c:v>
                </c:pt>
                <c:pt idx="16">
                  <c:v>0.35610911693867719</c:v>
                </c:pt>
                <c:pt idx="17">
                  <c:v>0.36268590787495331</c:v>
                </c:pt>
                <c:pt idx="18">
                  <c:v>0.36938416208459712</c:v>
                </c:pt>
                <c:pt idx="19">
                  <c:v>0.3762061228085633</c:v>
                </c:pt>
                <c:pt idx="20">
                  <c:v>0.38315407471703689</c:v>
                </c:pt>
                <c:pt idx="21">
                  <c:v>0.39023034467456846</c:v>
                </c:pt>
                <c:pt idx="22">
                  <c:v>0.39743730251933929</c:v>
                </c:pt>
                <c:pt idx="23">
                  <c:v>0.40477736185681845</c:v>
                </c:pt>
                <c:pt idx="24">
                  <c:v>0.41225298086807816</c:v>
                </c:pt>
                <c:pt idx="25">
                  <c:v>0.4198666631330365</c:v>
                </c:pt>
                <c:pt idx="26">
                  <c:v>0.42762095846890502</c:v>
                </c:pt>
                <c:pt idx="27">
                  <c:v>0.43551846378412079</c:v>
                </c:pt>
                <c:pt idx="28">
                  <c:v>0.44356182394804916</c:v>
                </c:pt>
                <c:pt idx="29">
                  <c:v>0.45175373267674929</c:v>
                </c:pt>
                <c:pt idx="30">
                  <c:v>0.46009693343509706</c:v>
                </c:pt>
                <c:pt idx="31">
                  <c:v>0.46859422035557052</c:v>
                </c:pt>
                <c:pt idx="32">
                  <c:v>0.4772484391740025</c:v>
                </c:pt>
                <c:pt idx="33">
                  <c:v>0.48606248818261577</c:v>
                </c:pt>
                <c:pt idx="34">
                  <c:v>0.4950393192006593</c:v>
                </c:pt>
                <c:pt idx="35">
                  <c:v>0.50418193856297078</c:v>
                </c:pt>
                <c:pt idx="36">
                  <c:v>0.51349340812679567</c:v>
                </c:pt>
                <c:pt idx="37">
                  <c:v>0.52297684629720165</c:v>
                </c:pt>
                <c:pt idx="38">
                  <c:v>0.53263542907143047</c:v>
                </c:pt>
                <c:pt idx="39">
                  <c:v>0.54247239110253653</c:v>
                </c:pt>
                <c:pt idx="40">
                  <c:v>0.55249102678267148</c:v>
                </c:pt>
                <c:pt idx="41">
                  <c:v>0.56269469134637273</c:v>
                </c:pt>
                <c:pt idx="42">
                  <c:v>0.57308680199423012</c:v>
                </c:pt>
                <c:pt idx="43">
                  <c:v>0.58367083903730355</c:v>
                </c:pt>
                <c:pt idx="44">
                  <c:v>0.59445034706267719</c:v>
                </c:pt>
                <c:pt idx="45">
                  <c:v>0.60542893612053961</c:v>
                </c:pt>
                <c:pt idx="46">
                  <c:v>0.61661028293318665</c:v>
                </c:pt>
                <c:pt idx="47">
                  <c:v>0.62799813212635391</c:v>
                </c:pt>
                <c:pt idx="48">
                  <c:v>0.63959629748328906</c:v>
                </c:pt>
                <c:pt idx="49">
                  <c:v>0.65140866322198532</c:v>
                </c:pt>
                <c:pt idx="50">
                  <c:v>0.6634391852960041</c:v>
                </c:pt>
                <c:pt idx="51">
                  <c:v>0.67569189271932051</c:v>
                </c:pt>
                <c:pt idx="52">
                  <c:v>0.68817088891563782</c:v>
                </c:pt>
                <c:pt idx="53">
                  <c:v>0.70088035309262153</c:v>
                </c:pt>
                <c:pt idx="54">
                  <c:v>0.71382454164151332</c:v>
                </c:pt>
                <c:pt idx="55">
                  <c:v>0.72700778956259293</c:v>
                </c:pt>
                <c:pt idx="56">
                  <c:v>0.74043451191696807</c:v>
                </c:pt>
                <c:pt idx="57">
                  <c:v>0.754109205305175</c:v>
                </c:pt>
                <c:pt idx="58">
                  <c:v>0.76803644937308657</c:v>
                </c:pt>
                <c:pt idx="59">
                  <c:v>0.78222090834563363</c:v>
                </c:pt>
                <c:pt idx="60">
                  <c:v>0.79666733258884981</c:v>
                </c:pt>
                <c:pt idx="61">
                  <c:v>0.8113805602007671</c:v>
                </c:pt>
                <c:pt idx="62">
                  <c:v>0.82636551863169072</c:v>
                </c:pt>
                <c:pt idx="63">
                  <c:v>0.8416272263343999</c:v>
                </c:pt>
                <c:pt idx="64">
                  <c:v>0.85717079444482391</c:v>
                </c:pt>
                <c:pt idx="65">
                  <c:v>0.87300142849375828</c:v>
                </c:pt>
                <c:pt idx="66">
                  <c:v>0.88912443015019305</c:v>
                </c:pt>
                <c:pt idx="67">
                  <c:v>0.90554519899683961</c:v>
                </c:pt>
                <c:pt idx="68">
                  <c:v>0.92226923433844599</c:v>
                </c:pt>
                <c:pt idx="69">
                  <c:v>0.93930213704351173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Omkostninger!$A$11</c:f>
              <c:strCache>
                <c:ptCount val="1"/>
                <c:pt idx="0">
                  <c:v>Kontor/handel</c:v>
                </c:pt>
              </c:strCache>
            </c:strRef>
          </c:tx>
          <c:marker>
            <c:symbol val="none"/>
          </c:marker>
          <c:cat>
            <c:numRef>
              <c:f>Omkostninger!$B$8:$BS$8</c:f>
              <c:numCache>
                <c:formatCode>0%</c:formatCode>
                <c:ptCount val="7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</c:numCache>
            </c:numRef>
          </c:cat>
          <c:val>
            <c:numRef>
              <c:f>Omkostninger!$B$11:$BS$11</c:f>
              <c:numCache>
                <c:formatCode>General</c:formatCode>
                <c:ptCount val="70"/>
                <c:pt idx="0">
                  <c:v>0.16115756407508683</c:v>
                </c:pt>
                <c:pt idx="1">
                  <c:v>0.1653199265347913</c:v>
                </c:pt>
                <c:pt idx="2">
                  <c:v>0.1695897941019687</c:v>
                </c:pt>
                <c:pt idx="3">
                  <c:v>0.17396994340845831</c:v>
                </c:pt>
                <c:pt idx="4">
                  <c:v>0.17846322280068652</c:v>
                </c:pt>
                <c:pt idx="5">
                  <c:v>0.1830725541919041</c:v>
                </c:pt>
                <c:pt idx="6">
                  <c:v>0.18780093496226347</c:v>
                </c:pt>
                <c:pt idx="7">
                  <c:v>0.19265143990797065</c:v>
                </c:pt>
                <c:pt idx="8">
                  <c:v>0.19762722324077991</c:v>
                </c:pt>
                <c:pt idx="9">
                  <c:v>0.20273152063913097</c:v>
                </c:pt>
                <c:pt idx="10">
                  <c:v>0.20796765135226314</c:v>
                </c:pt>
                <c:pt idx="11">
                  <c:v>0.21333902035867389</c:v>
                </c:pt>
                <c:pt idx="12">
                  <c:v>0.21884912058032618</c:v>
                </c:pt>
                <c:pt idx="13">
                  <c:v>0.22450153515404406</c:v>
                </c:pt>
                <c:pt idx="14">
                  <c:v>0.23029993976157362</c:v>
                </c:pt>
                <c:pt idx="15">
                  <c:v>0.23624810501982454</c:v>
                </c:pt>
                <c:pt idx="16">
                  <c:v>0.2423498989328467</c:v>
                </c:pt>
                <c:pt idx="17">
                  <c:v>0.248609289407136</c:v>
                </c:pt>
                <c:pt idx="18">
                  <c:v>0.25503034683190529</c:v>
                </c:pt>
                <c:pt idx="19">
                  <c:v>0.26161724672599873</c:v>
                </c:pt>
                <c:pt idx="20">
                  <c:v>0.26837427245316958</c:v>
                </c:pt>
                <c:pt idx="21">
                  <c:v>0.27530581800748877</c:v>
                </c:pt>
                <c:pt idx="22">
                  <c:v>0.28241639087069426</c:v>
                </c:pt>
                <c:pt idx="23">
                  <c:v>0.28971061494333977</c:v>
                </c:pt>
                <c:pt idx="24">
                  <c:v>0.29719323355164917</c:v>
                </c:pt>
                <c:pt idx="25">
                  <c:v>0.30486911253203153</c:v>
                </c:pt>
                <c:pt idx="26">
                  <c:v>0.31274324339526244</c:v>
                </c:pt>
                <c:pt idx="27">
                  <c:v>0.32082074657239007</c:v>
                </c:pt>
                <c:pt idx="28">
                  <c:v>0.32910687474447581</c:v>
                </c:pt>
                <c:pt idx="29">
                  <c:v>0.337607016258335</c:v>
                </c:pt>
                <c:pt idx="30">
                  <c:v>0.34632669863049981</c:v>
                </c:pt>
                <c:pt idx="31">
                  <c:v>0.3552715921416808</c:v>
                </c:pt>
                <c:pt idx="32">
                  <c:v>0.36444751352406773</c:v>
                </c:pt>
                <c:pt idx="33">
                  <c:v>0.37386042974386391</c:v>
                </c:pt>
                <c:pt idx="34">
                  <c:v>0.3835164618815165</c:v>
                </c:pt>
                <c:pt idx="35">
                  <c:v>0.39342188911216486</c:v>
                </c:pt>
                <c:pt idx="36">
                  <c:v>0.40358315278889506</c:v>
                </c:pt>
                <c:pt idx="37">
                  <c:v>0.41400686063145714</c:v>
                </c:pt>
                <c:pt idx="38">
                  <c:v>0.42469979102316741</c:v>
                </c:pt>
                <c:pt idx="39">
                  <c:v>0.43566889741879117</c:v>
                </c:pt>
                <c:pt idx="40">
                  <c:v>0.44692131286627157</c:v>
                </c:pt>
                <c:pt idx="41">
                  <c:v>0.45846435464524565</c:v>
                </c:pt>
                <c:pt idx="42">
                  <c:v>0.47030552902536282</c:v>
                </c:pt>
                <c:pt idx="43">
                  <c:v>0.48245253614750178</c:v>
                </c:pt>
                <c:pt idx="44">
                  <c:v>0.49491327503105775</c:v>
                </c:pt>
                <c:pt idx="45">
                  <c:v>0.50769584871055862</c:v>
                </c:pt>
                <c:pt idx="46">
                  <c:v>0.52080856950494869</c:v>
                </c:pt>
                <c:pt idx="47">
                  <c:v>0.53425996442296686</c:v>
                </c:pt>
                <c:pt idx="48">
                  <c:v>0.54805878070813419</c:v>
                </c:pt>
                <c:pt idx="49">
                  <c:v>0.56221399152695806</c:v>
                </c:pt>
                <c:pt idx="50">
                  <c:v>0.57673480180404879</c:v>
                </c:pt>
                <c:pt idx="51">
                  <c:v>0.59163065420794714</c:v>
                </c:pt>
                <c:pt idx="52">
                  <c:v>0.60691123529155178</c:v>
                </c:pt>
                <c:pt idx="53">
                  <c:v>0.62258648179114173</c:v>
                </c:pt>
                <c:pt idx="54">
                  <c:v>0.63866658708808921</c:v>
                </c:pt>
                <c:pt idx="55">
                  <c:v>0.65516200783746503</c:v>
                </c:pt>
                <c:pt idx="56">
                  <c:v>0.67208347076784714</c:v>
                </c:pt>
                <c:pt idx="57">
                  <c:v>0.68944197965675424</c:v>
                </c:pt>
                <c:pt idx="58">
                  <c:v>0.70724882248623844</c:v>
                </c:pt>
                <c:pt idx="59">
                  <c:v>0.72551557878329542</c:v>
                </c:pt>
                <c:pt idx="60">
                  <c:v>0.74425412714985772</c:v>
                </c:pt>
                <c:pt idx="61">
                  <c:v>0.76347665298727574</c:v>
                </c:pt>
                <c:pt idx="62">
                  <c:v>0.78319565642030364</c:v>
                </c:pt>
                <c:pt idx="63">
                  <c:v>0.8034239604257466</c:v>
                </c:pt>
                <c:pt idx="64">
                  <c:v>0.82417471917105223</c:v>
                </c:pt>
                <c:pt idx="65">
                  <c:v>0.84546142656827217</c:v>
                </c:pt>
                <c:pt idx="66">
                  <c:v>0.86729792504895376</c:v>
                </c:pt>
                <c:pt idx="67">
                  <c:v>0.88969841456566912</c:v>
                </c:pt>
                <c:pt idx="68">
                  <c:v>0.91267746182603426</c:v>
                </c:pt>
                <c:pt idx="69">
                  <c:v>0.9362500097652241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Omkostninger!$A$12</c:f>
              <c:strCache>
                <c:ptCount val="1"/>
                <c:pt idx="0">
                  <c:v>Proces - øvrig</c:v>
                </c:pt>
              </c:strCache>
            </c:strRef>
          </c:tx>
          <c:marker>
            <c:symbol val="none"/>
          </c:marker>
          <c:cat>
            <c:numRef>
              <c:f>Omkostninger!$B$8:$BS$8</c:f>
              <c:numCache>
                <c:formatCode>0%</c:formatCode>
                <c:ptCount val="7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</c:numCache>
            </c:numRef>
          </c:cat>
          <c:val>
            <c:numRef>
              <c:f>Omkostninger!$B$12:$BS$12</c:f>
              <c:numCache>
                <c:formatCode>General</c:formatCode>
                <c:ptCount val="70"/>
                <c:pt idx="0">
                  <c:v>6.8050504493520958E-2</c:v>
                </c:pt>
                <c:pt idx="1">
                  <c:v>7.0700323081262811E-2</c:v>
                </c:pt>
                <c:pt idx="2">
                  <c:v>7.3453322954730657E-2</c:v>
                </c:pt>
                <c:pt idx="3">
                  <c:v>7.6313521889999139E-2</c:v>
                </c:pt>
                <c:pt idx="4">
                  <c:v>7.9285094111325116E-2</c:v>
                </c:pt>
                <c:pt idx="5">
                  <c:v>8.2372376383083382E-2</c:v>
                </c:pt>
                <c:pt idx="6">
                  <c:v>8.5579874338916243E-2</c:v>
                </c:pt>
                <c:pt idx="7">
                  <c:v>8.8912269057334001E-2</c:v>
                </c:pt>
                <c:pt idx="8">
                  <c:v>9.2374423893362617E-2</c:v>
                </c:pt>
                <c:pt idx="9">
                  <c:v>9.5971391576208875E-2</c:v>
                </c:pt>
                <c:pt idx="10">
                  <c:v>9.9708421583301676E-2</c:v>
                </c:pt>
                <c:pt idx="11">
                  <c:v>0.10359096780147102</c:v>
                </c:pt>
                <c:pt idx="12">
                  <c:v>0.1076246964864456</c:v>
                </c:pt>
                <c:pt idx="13">
                  <c:v>0.11181549453228543</c:v>
                </c:pt>
                <c:pt idx="14">
                  <c:v>0.11616947806281763</c:v>
                </c:pt>
                <c:pt idx="15">
                  <c:v>0.12069300135761457</c:v>
                </c:pt>
                <c:pt idx="16">
                  <c:v>0.12539266612554015</c:v>
                </c:pt>
                <c:pt idx="17">
                  <c:v>0.13027533113939913</c:v>
                </c:pt>
                <c:pt idx="18">
                  <c:v>0.13534812224574974</c:v>
                </c:pt>
                <c:pt idx="19">
                  <c:v>0.14061844276448879</c:v>
                </c:pt>
                <c:pt idx="20">
                  <c:v>0.14609398429338569</c:v>
                </c:pt>
                <c:pt idx="21">
                  <c:v>0.15178273793333466</c:v>
                </c:pt>
                <c:pt idx="22">
                  <c:v>0.15769300595070693</c:v>
                </c:pt>
                <c:pt idx="23">
                  <c:v>0.163833413893823</c:v>
                </c:pt>
                <c:pt idx="24">
                  <c:v>0.17021292318122869</c:v>
                </c:pt>
                <c:pt idx="25">
                  <c:v>0.17684084418014562</c:v>
                </c:pt>
                <c:pt idx="26">
                  <c:v>0.18372684979418377</c:v>
                </c:pt>
                <c:pt idx="27">
                  <c:v>0.19088098958014579</c:v>
                </c:pt>
                <c:pt idx="28">
                  <c:v>0.19831370441452573</c:v>
                </c:pt>
                <c:pt idx="29">
                  <c:v>0.20603584173110637</c:v>
                </c:pt>
                <c:pt idx="30">
                  <c:v>0.21405867135189352</c:v>
                </c:pt>
                <c:pt idx="31">
                  <c:v>0.22239390193449088</c:v>
                </c:pt>
                <c:pt idx="32">
                  <c:v>0.23105369805991952</c:v>
                </c:pt>
                <c:pt idx="33">
                  <c:v>0.2400506979858196</c:v>
                </c:pt>
                <c:pt idx="34">
                  <c:v>0.24939803209094438</c:v>
                </c:pt>
                <c:pt idx="35">
                  <c:v>0.25910934203786401</c:v>
                </c:pt>
                <c:pt idx="36">
                  <c:v>0.26919880068184615</c:v>
                </c:pt>
                <c:pt idx="37">
                  <c:v>0.2796811327549682</c:v>
                </c:pt>
                <c:pt idx="38">
                  <c:v>0.29057163635564875</c:v>
                </c:pt>
                <c:pt idx="39">
                  <c:v>0.30188620527495891</c:v>
                </c:pt>
                <c:pt idx="40">
                  <c:v>0.31364135219229883</c:v>
                </c:pt>
                <c:pt idx="41">
                  <c:v>0.32585423277429038</c:v>
                </c:pt>
                <c:pt idx="42">
                  <c:v>0.33854267071205596</c:v>
                </c:pt>
                <c:pt idx="43">
                  <c:v>0.35172518373342515</c:v>
                </c:pt>
                <c:pt idx="44">
                  <c:v>0.3654210106280294</c:v>
                </c:pt>
                <c:pt idx="45">
                  <c:v>0.37965013932472802</c:v>
                </c:pt>
                <c:pt idx="46">
                  <c:v>0.39443333606233977</c:v>
                </c:pt>
                <c:pt idx="47">
                  <c:v>0.40979217569625509</c:v>
                </c:pt>
                <c:pt idx="48">
                  <c:v>0.4257490731851562</c:v>
                </c:pt>
                <c:pt idx="49">
                  <c:v>0.44232731630379929</c:v>
                </c:pt>
                <c:pt idx="50">
                  <c:v>0.45955109962959928</c:v>
                </c:pt>
                <c:pt idx="51">
                  <c:v>0.47744555985261888</c:v>
                </c:pt>
                <c:pt idx="52">
                  <c:v>0.49603681246049258</c:v>
                </c:pt>
                <c:pt idx="53">
                  <c:v>0.5153519898518254</c:v>
                </c:pt>
                <c:pt idx="54">
                  <c:v>0.53541928093368862</c:v>
                </c:pt>
                <c:pt idx="55">
                  <c:v>0.55626797226100355</c:v>
                </c:pt>
                <c:pt idx="56">
                  <c:v>0.57792849077785013</c:v>
                </c:pt>
                <c:pt idx="57">
                  <c:v>0.60043244822308217</c:v>
                </c:pt>
                <c:pt idx="58">
                  <c:v>0.62381268726504768</c:v>
                </c:pt>
                <c:pt idx="59">
                  <c:v>0.64810332943275595</c:v>
                </c:pt>
                <c:pt idx="60">
                  <c:v>0.67333982491342981</c:v>
                </c:pt>
                <c:pt idx="61">
                  <c:v>0.69955900428912909</c:v>
                </c:pt>
                <c:pt idx="62">
                  <c:v>0.72679913228794546</c:v>
                </c:pt>
                <c:pt idx="63">
                  <c:v>0.75509996362821286</c:v>
                </c:pt>
                <c:pt idx="64">
                  <c:v>0.78450280103723991</c:v>
                </c:pt>
                <c:pt idx="65">
                  <c:v>0.81505055552922823</c:v>
                </c:pt>
                <c:pt idx="66">
                  <c:v>0.84678780903035877</c:v>
                </c:pt>
                <c:pt idx="67">
                  <c:v>0.8797608794424302</c:v>
                </c:pt>
                <c:pt idx="68">
                  <c:v>0.91401788824001562</c:v>
                </c:pt>
                <c:pt idx="69">
                  <c:v>0.94960883069978197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Omkostninger!$A$13</c:f>
              <c:strCache>
                <c:ptCount val="1"/>
                <c:pt idx="0">
                  <c:v>Proes -el</c:v>
                </c:pt>
              </c:strCache>
            </c:strRef>
          </c:tx>
          <c:marker>
            <c:symbol val="none"/>
          </c:marker>
          <c:cat>
            <c:numRef>
              <c:f>Omkostninger!$B$8:$BS$8</c:f>
              <c:numCache>
                <c:formatCode>0%</c:formatCode>
                <c:ptCount val="7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</c:numCache>
            </c:numRef>
          </c:cat>
          <c:val>
            <c:numRef>
              <c:f>Omkostninger!$B$13:$BS$13</c:f>
              <c:numCache>
                <c:formatCode>General</c:formatCode>
                <c:ptCount val="70"/>
                <c:pt idx="0">
                  <c:v>0.13263954828076846</c:v>
                </c:pt>
                <c:pt idx="1">
                  <c:v>0.13606535010151824</c:v>
                </c:pt>
                <c:pt idx="2">
                  <c:v>0.13957963321059549</c:v>
                </c:pt>
                <c:pt idx="3">
                  <c:v>0.14318468289442179</c:v>
                </c:pt>
                <c:pt idx="4">
                  <c:v>0.14688284346358224</c:v>
                </c:pt>
                <c:pt idx="5">
                  <c:v>0.15067651977729599</c:v>
                </c:pt>
                <c:pt idx="6">
                  <c:v>0.15456817880726079</c:v>
                </c:pt>
                <c:pt idx="7">
                  <c:v>0.15856035124188803</c:v>
                </c:pt>
                <c:pt idx="8">
                  <c:v>0.16265563313197226</c:v>
                </c:pt>
                <c:pt idx="9">
                  <c:v>0.16685668757886465</c:v>
                </c:pt>
                <c:pt idx="10">
                  <c:v>0.17116624646624842</c:v>
                </c:pt>
                <c:pt idx="11">
                  <c:v>0.1755871122366425</c:v>
                </c:pt>
                <c:pt idx="12">
                  <c:v>0.18012215971378853</c:v>
                </c:pt>
                <c:pt idx="13">
                  <c:v>0.1847743379721063</c:v>
                </c:pt>
                <c:pt idx="14">
                  <c:v>0.18954667225443328</c:v>
                </c:pt>
                <c:pt idx="15">
                  <c:v>0.19444226593929545</c:v>
                </c:pt>
                <c:pt idx="16">
                  <c:v>0.19946430255898842</c:v>
                </c:pt>
                <c:pt idx="17">
                  <c:v>0.20461604786978158</c:v>
                </c:pt>
                <c:pt idx="18">
                  <c:v>0.20990085197559108</c:v>
                </c:pt>
                <c:pt idx="19">
                  <c:v>0.21532215150650311</c:v>
                </c:pt>
                <c:pt idx="20">
                  <c:v>0.2208834718535635</c:v>
                </c:pt>
                <c:pt idx="21">
                  <c:v>0.22658842946128771</c:v>
                </c:pt>
                <c:pt idx="22">
                  <c:v>0.2324407341793811</c:v>
                </c:pt>
                <c:pt idx="23">
                  <c:v>0.23844419167519945</c:v>
                </c:pt>
                <c:pt idx="24">
                  <c:v>0.2446027059085184</c:v>
                </c:pt>
                <c:pt idx="25">
                  <c:v>0.25092028167022074</c:v>
                </c:pt>
                <c:pt idx="26">
                  <c:v>0.25740102718655272</c:v>
                </c:pt>
                <c:pt idx="27">
                  <c:v>0.26404915679064311</c:v>
                </c:pt>
                <c:pt idx="28">
                  <c:v>0.27086899366302181</c:v>
                </c:pt>
                <c:pt idx="29">
                  <c:v>0.27786497264291993</c:v>
                </c:pt>
                <c:pt idx="30">
                  <c:v>0.28504164311218094</c:v>
                </c:pt>
                <c:pt idx="31">
                  <c:v>0.2924036719536558</c:v>
                </c:pt>
                <c:pt idx="32">
                  <c:v>0.29995584658600866</c:v>
                </c:pt>
                <c:pt idx="33">
                  <c:v>0.30770307807690395</c:v>
                </c:pt>
                <c:pt idx="34">
                  <c:v>0.31565040433660141</c:v>
                </c:pt>
                <c:pt idx="35">
                  <c:v>0.32380299339403512</c:v>
                </c:pt>
                <c:pt idx="36">
                  <c:v>0.33216614675750561</c:v>
                </c:pt>
                <c:pt idx="37">
                  <c:v>0.34074530286217319</c:v>
                </c:pt>
                <c:pt idx="38">
                  <c:v>0.34954604060659167</c:v>
                </c:pt>
                <c:pt idx="39">
                  <c:v>0.35857408298058369</c:v>
                </c:pt>
                <c:pt idx="40">
                  <c:v>0.36783530078681681</c:v>
                </c:pt>
                <c:pt idx="41">
                  <c:v>0.3773357164584995</c:v>
                </c:pt>
                <c:pt idx="42">
                  <c:v>0.38708150797568058</c:v>
                </c:pt>
                <c:pt idx="43">
                  <c:v>0.39707901288269881</c:v>
                </c:pt>
                <c:pt idx="44">
                  <c:v>0.40733473240939383</c:v>
                </c:pt>
                <c:pt idx="45">
                  <c:v>0.41785533569876027</c:v>
                </c:pt>
                <c:pt idx="46">
                  <c:v>0.42864766414379296</c:v>
                </c:pt>
                <c:pt idx="47">
                  <c:v>0.43971873583634385</c:v>
                </c:pt>
                <c:pt idx="48">
                  <c:v>0.45107575013088325</c:v>
                </c:pt>
                <c:pt idx="49">
                  <c:v>0.46272609232613415</c:v>
                </c:pt>
                <c:pt idx="50">
                  <c:v>0.47467733846762261</c:v>
                </c:pt>
                <c:pt idx="51">
                  <c:v>0.48693726027426842</c:v>
                </c:pt>
                <c:pt idx="52">
                  <c:v>0.49951383019221929</c:v>
                </c:pt>
                <c:pt idx="53">
                  <c:v>0.51241522657921468</c:v>
                </c:pt>
                <c:pt idx="54">
                  <c:v>0.52564983902285134</c:v>
                </c:pt>
                <c:pt idx="55">
                  <c:v>0.53922627379620769</c:v>
                </c:pt>
                <c:pt idx="56">
                  <c:v>0.55315335945437716</c:v>
                </c:pt>
                <c:pt idx="57">
                  <c:v>0.56744015257554625</c:v>
                </c:pt>
                <c:pt idx="58">
                  <c:v>0.58209594365035422</c:v>
                </c:pt>
                <c:pt idx="59">
                  <c:v>0.59713026312336159</c:v>
                </c:pt>
                <c:pt idx="60">
                  <c:v>0.6125528875905577</c:v>
                </c:pt>
                <c:pt idx="61">
                  <c:v>0.6283738461569367</c:v>
                </c:pt>
                <c:pt idx="62">
                  <c:v>0.64460342695827677</c:v>
                </c:pt>
                <c:pt idx="63">
                  <c:v>0.66125218385136242</c:v>
                </c:pt>
                <c:pt idx="64">
                  <c:v>0.67833094327700227</c:v>
                </c:pt>
                <c:pt idx="65">
                  <c:v>0.69585081130030291</c:v>
                </c:pt>
                <c:pt idx="66">
                  <c:v>0.71382318083277996</c:v>
                </c:pt>
                <c:pt idx="67">
                  <c:v>0.7322597390409995</c:v>
                </c:pt>
                <c:pt idx="68">
                  <c:v>0.75117247494657058</c:v>
                </c:pt>
                <c:pt idx="69">
                  <c:v>0.77057368722242825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Omkostninger!$A$14</c:f>
              <c:strCache>
                <c:ptCount val="1"/>
                <c:pt idx="0">
                  <c:v>Elapparater</c:v>
                </c:pt>
              </c:strCache>
            </c:strRef>
          </c:tx>
          <c:marker>
            <c:symbol val="none"/>
          </c:marker>
          <c:cat>
            <c:numRef>
              <c:f>Omkostninger!$B$8:$BS$8</c:f>
              <c:numCache>
                <c:formatCode>0%</c:formatCode>
                <c:ptCount val="7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</c:numCache>
            </c:numRef>
          </c:cat>
          <c:val>
            <c:numRef>
              <c:f>Omkostninger!$B$14:$BS$14</c:f>
              <c:numCache>
                <c:formatCode>General</c:formatCode>
                <c:ptCount val="70"/>
                <c:pt idx="0">
                  <c:v>8.0723031198737E-2</c:v>
                </c:pt>
                <c:pt idx="1">
                  <c:v>8.3114894973370768E-2</c:v>
                </c:pt>
                <c:pt idx="2">
                  <c:v>8.5577630867540277E-2</c:v>
                </c:pt>
                <c:pt idx="3">
                  <c:v>8.8113338857582296E-2</c:v>
                </c:pt>
                <c:pt idx="4">
                  <c:v>9.0724181143182411E-2</c:v>
                </c:pt>
                <c:pt idx="5">
                  <c:v>9.3412383991083953E-2</c:v>
                </c:pt>
                <c:pt idx="6">
                  <c:v>9.6180239633426937E-2</c:v>
                </c:pt>
                <c:pt idx="7">
                  <c:v>9.9030108222335753E-2</c:v>
                </c:pt>
                <c:pt idx="8">
                  <c:v>0.10196441984242234</c:v>
                </c:pt>
                <c:pt idx="9">
                  <c:v>0.10498567658292063</c:v>
                </c:pt>
                <c:pt idx="10">
                  <c:v>0.10809645467121957</c:v>
                </c:pt>
                <c:pt idx="11">
                  <c:v>0.11129940666961376</c:v>
                </c:pt>
                <c:pt idx="12">
                  <c:v>0.11459726373714475</c:v>
                </c:pt>
                <c:pt idx="13">
                  <c:v>0.1179928379584621</c:v>
                </c:pt>
                <c:pt idx="14">
                  <c:v>0.12148902474168949</c:v>
                </c:pt>
                <c:pt idx="15">
                  <c:v>0.12508880528734098</c:v>
                </c:pt>
                <c:pt idx="16">
                  <c:v>0.12879524913039239</c:v>
                </c:pt>
                <c:pt idx="17">
                  <c:v>0.13261151675767563</c:v>
                </c:pt>
                <c:pt idx="18">
                  <c:v>0.13654086230282761</c:v>
                </c:pt>
                <c:pt idx="19">
                  <c:v>0.14058663632109192</c:v>
                </c:pt>
                <c:pt idx="20">
                  <c:v>0.14475228864633927</c:v>
                </c:pt>
                <c:pt idx="21">
                  <c:v>0.1490413713327427</c:v>
                </c:pt>
                <c:pt idx="22">
                  <c:v>0.15345754168361653</c:v>
                </c:pt>
                <c:pt idx="23">
                  <c:v>0.15800456537000079</c:v>
                </c:pt>
                <c:pt idx="24">
                  <c:v>0.1626863196416512</c:v>
                </c:pt>
                <c:pt idx="25">
                  <c:v>0.16750679663317236</c:v>
                </c:pt>
                <c:pt idx="26">
                  <c:v>0.17247010676811309</c:v>
                </c:pt>
                <c:pt idx="27">
                  <c:v>0.17758048226392725</c:v>
                </c:pt>
                <c:pt idx="28">
                  <c:v>0.18284228074078773</c:v>
                </c:pt>
                <c:pt idx="29">
                  <c:v>0.18825998893733217</c:v>
                </c:pt>
                <c:pt idx="30">
                  <c:v>0.19383822653650698</c:v>
                </c:pt>
                <c:pt idx="31">
                  <c:v>0.1995817501047743</c:v>
                </c:pt>
                <c:pt idx="32">
                  <c:v>0.2054954571480386</c:v>
                </c:pt>
                <c:pt idx="33">
                  <c:v>0.21158439028775314</c:v>
                </c:pt>
                <c:pt idx="34">
                  <c:v>0.21785374156076587</c:v>
                </c:pt>
                <c:pt idx="35">
                  <c:v>0.22430885684657256</c:v>
                </c:pt>
                <c:pt idx="36">
                  <c:v>0.23095524042575138</c:v>
                </c:pt>
                <c:pt idx="37">
                  <c:v>0.237798559673466</c:v>
                </c:pt>
                <c:pt idx="38">
                  <c:v>0.24484464989203983</c:v>
                </c:pt>
                <c:pt idx="39">
                  <c:v>0.25209951928672153</c:v>
                </c:pt>
                <c:pt idx="40">
                  <c:v>0.25956935408888548</c:v>
                </c:pt>
                <c:pt idx="41">
                  <c:v>0.26726052383103466</c:v>
                </c:pt>
                <c:pt idx="42">
                  <c:v>0.27517958677810472</c:v>
                </c:pt>
                <c:pt idx="43">
                  <c:v>0.28333329551970027</c:v>
                </c:pt>
                <c:pt idx="44">
                  <c:v>0.29172860272803236</c:v>
                </c:pt>
                <c:pt idx="45">
                  <c:v>0.30037266708646565</c:v>
                </c:pt>
                <c:pt idx="46">
                  <c:v>0.30927285939373222</c:v>
                </c:pt>
                <c:pt idx="47">
                  <c:v>0.31843676884901601</c:v>
                </c:pt>
                <c:pt idx="48">
                  <c:v>0.32787220952326679</c:v>
                </c:pt>
                <c:pt idx="49">
                  <c:v>0.33758722702226418</c:v>
                </c:pt>
                <c:pt idx="50">
                  <c:v>0.34759010534710899</c:v>
                </c:pt>
                <c:pt idx="51">
                  <c:v>0.35788937395799686</c:v>
                </c:pt>
                <c:pt idx="52">
                  <c:v>0.36849381504729395</c:v>
                </c:pt>
                <c:pt idx="53">
                  <c:v>0.37941247102811637</c:v>
                </c:pt>
                <c:pt idx="54">
                  <c:v>0.39065465224480284</c:v>
                </c:pt>
                <c:pt idx="55">
                  <c:v>0.40222994491184927</c:v>
                </c:pt>
                <c:pt idx="56">
                  <c:v>0.41414821928807988</c:v>
                </c:pt>
                <c:pt idx="57">
                  <c:v>0.42641963809302347</c:v>
                </c:pt>
                <c:pt idx="58">
                  <c:v>0.43905466517266944</c:v>
                </c:pt>
                <c:pt idx="59">
                  <c:v>0.45206407442199525</c:v>
                </c:pt>
                <c:pt idx="60">
                  <c:v>0.4654589589718735</c:v>
                </c:pt>
                <c:pt idx="61">
                  <c:v>0.47925074064819134</c:v>
                </c:pt>
                <c:pt idx="62">
                  <c:v>0.49345117971124697</c:v>
                </c:pt>
                <c:pt idx="63">
                  <c:v>0.50807238488373174</c:v>
                </c:pt>
                <c:pt idx="64">
                  <c:v>0.52312682367584429</c:v>
                </c:pt>
                <c:pt idx="65">
                  <c:v>0.53862733301634402</c:v>
                </c:pt>
                <c:pt idx="66">
                  <c:v>0.55458713019860784</c:v>
                </c:pt>
                <c:pt idx="67">
                  <c:v>0.57101982415102348</c:v>
                </c:pt>
                <c:pt idx="68">
                  <c:v>0.58793942704133118</c:v>
                </c:pt>
                <c:pt idx="69">
                  <c:v>0.60536036622480804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592320"/>
        <c:axId val="279602688"/>
      </c:lineChart>
      <c:catAx>
        <c:axId val="2795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Besparelsesprocent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79602688"/>
        <c:crosses val="autoZero"/>
        <c:auto val="1"/>
        <c:lblAlgn val="ctr"/>
        <c:lblOffset val="100"/>
        <c:tickLblSkip val="9"/>
        <c:noMultiLvlLbl val="0"/>
      </c:catAx>
      <c:valAx>
        <c:axId val="279602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Kr./kWh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5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Handel og service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'Øvr forudsæt'!$F$56</c:f>
              <c:strCache>
                <c:ptCount val="1"/>
                <c:pt idx="0">
                  <c:v>Belysning</c:v>
                </c:pt>
              </c:strCache>
            </c:strRef>
          </c:tx>
          <c:invertIfNegative val="0"/>
          <c:cat>
            <c:strRef>
              <c:f>'Øvr forudsæt'!$H$54:$J$54</c:f>
              <c:strCache>
                <c:ptCount val="3"/>
                <c:pt idx="0">
                  <c:v>Offentlig</c:v>
                </c:pt>
                <c:pt idx="1">
                  <c:v>Handel</c:v>
                </c:pt>
                <c:pt idx="2">
                  <c:v>Priv. service</c:v>
                </c:pt>
              </c:strCache>
            </c:strRef>
          </c:cat>
          <c:val>
            <c:numRef>
              <c:f>'Øvr forudsæt'!$H$56:$J$56</c:f>
              <c:numCache>
                <c:formatCode>0%</c:formatCode>
                <c:ptCount val="3"/>
                <c:pt idx="0">
                  <c:v>0.33</c:v>
                </c:pt>
                <c:pt idx="1">
                  <c:v>0.36</c:v>
                </c:pt>
                <c:pt idx="2">
                  <c:v>0.35</c:v>
                </c:pt>
              </c:numCache>
            </c:numRef>
          </c:val>
        </c:ser>
        <c:ser>
          <c:idx val="1"/>
          <c:order val="1"/>
          <c:tx>
            <c:strRef>
              <c:f>'Øvr forudsæt'!$F$57</c:f>
              <c:strCache>
                <c:ptCount val="1"/>
                <c:pt idx="0">
                  <c:v>Ventilation</c:v>
                </c:pt>
              </c:strCache>
            </c:strRef>
          </c:tx>
          <c:invertIfNegative val="0"/>
          <c:cat>
            <c:strRef>
              <c:f>'Øvr forudsæt'!$H$54:$J$54</c:f>
              <c:strCache>
                <c:ptCount val="3"/>
                <c:pt idx="0">
                  <c:v>Offentlig</c:v>
                </c:pt>
                <c:pt idx="1">
                  <c:v>Handel</c:v>
                </c:pt>
                <c:pt idx="2">
                  <c:v>Priv. service</c:v>
                </c:pt>
              </c:strCache>
            </c:strRef>
          </c:cat>
          <c:val>
            <c:numRef>
              <c:f>'Øvr forudsæt'!$H$57:$J$57</c:f>
              <c:numCache>
                <c:formatCode>0%</c:formatCode>
                <c:ptCount val="3"/>
                <c:pt idx="0">
                  <c:v>0.24</c:v>
                </c:pt>
                <c:pt idx="1">
                  <c:v>0.22</c:v>
                </c:pt>
                <c:pt idx="2">
                  <c:v>0.19</c:v>
                </c:pt>
              </c:numCache>
            </c:numRef>
          </c:val>
        </c:ser>
        <c:ser>
          <c:idx val="2"/>
          <c:order val="2"/>
          <c:tx>
            <c:strRef>
              <c:f>'Øvr forudsæt'!$F$58</c:f>
              <c:strCache>
                <c:ptCount val="1"/>
                <c:pt idx="0">
                  <c:v>Køl/frys</c:v>
                </c:pt>
              </c:strCache>
            </c:strRef>
          </c:tx>
          <c:invertIfNegative val="0"/>
          <c:cat>
            <c:strRef>
              <c:f>'Øvr forudsæt'!$H$54:$J$54</c:f>
              <c:strCache>
                <c:ptCount val="3"/>
                <c:pt idx="0">
                  <c:v>Offentlig</c:v>
                </c:pt>
                <c:pt idx="1">
                  <c:v>Handel</c:v>
                </c:pt>
                <c:pt idx="2">
                  <c:v>Priv. service</c:v>
                </c:pt>
              </c:strCache>
            </c:strRef>
          </c:cat>
          <c:val>
            <c:numRef>
              <c:f>'Øvr forudsæt'!$H$58:$J$58</c:f>
              <c:numCache>
                <c:formatCode>0%</c:formatCode>
                <c:ptCount val="3"/>
                <c:pt idx="0">
                  <c:v>0.06</c:v>
                </c:pt>
                <c:pt idx="1">
                  <c:v>0.18</c:v>
                </c:pt>
                <c:pt idx="2">
                  <c:v>0.09</c:v>
                </c:pt>
              </c:numCache>
            </c:numRef>
          </c:val>
        </c:ser>
        <c:ser>
          <c:idx val="3"/>
          <c:order val="3"/>
          <c:tx>
            <c:strRef>
              <c:f>'Øvr forudsæt'!$F$59</c:f>
              <c:strCache>
                <c:ptCount val="1"/>
                <c:pt idx="0">
                  <c:v>Edb og elektronik</c:v>
                </c:pt>
              </c:strCache>
            </c:strRef>
          </c:tx>
          <c:invertIfNegative val="0"/>
          <c:cat>
            <c:strRef>
              <c:f>'Øvr forudsæt'!$H$54:$J$54</c:f>
              <c:strCache>
                <c:ptCount val="3"/>
                <c:pt idx="0">
                  <c:v>Offentlig</c:v>
                </c:pt>
                <c:pt idx="1">
                  <c:v>Handel</c:v>
                </c:pt>
                <c:pt idx="2">
                  <c:v>Priv. service</c:v>
                </c:pt>
              </c:strCache>
            </c:strRef>
          </c:cat>
          <c:val>
            <c:numRef>
              <c:f>'Øvr forudsæt'!$H$59:$J$59</c:f>
              <c:numCache>
                <c:formatCode>0%</c:formatCode>
                <c:ptCount val="3"/>
                <c:pt idx="0">
                  <c:v>0.25</c:v>
                </c:pt>
                <c:pt idx="1">
                  <c:v>0.12</c:v>
                </c:pt>
                <c:pt idx="2">
                  <c:v>0.22</c:v>
                </c:pt>
              </c:numCache>
            </c:numRef>
          </c:val>
        </c:ser>
        <c:ser>
          <c:idx val="4"/>
          <c:order val="4"/>
          <c:tx>
            <c:strRef>
              <c:f>'Øvr forudsæt'!$F$60</c:f>
              <c:strCache>
                <c:ptCount val="1"/>
                <c:pt idx="0">
                  <c:v>Pumper, vamt vand mv</c:v>
                </c:pt>
              </c:strCache>
            </c:strRef>
          </c:tx>
          <c:invertIfNegative val="0"/>
          <c:cat>
            <c:strRef>
              <c:f>'Øvr forudsæt'!$H$54:$J$54</c:f>
              <c:strCache>
                <c:ptCount val="3"/>
                <c:pt idx="0">
                  <c:v>Offentlig</c:v>
                </c:pt>
                <c:pt idx="1">
                  <c:v>Handel</c:v>
                </c:pt>
                <c:pt idx="2">
                  <c:v>Priv. service</c:v>
                </c:pt>
              </c:strCache>
            </c:strRef>
          </c:cat>
          <c:val>
            <c:numRef>
              <c:f>'Øvr forudsæt'!$H$60:$J$60</c:f>
              <c:numCache>
                <c:formatCode>0%</c:formatCode>
                <c:ptCount val="3"/>
                <c:pt idx="0">
                  <c:v>0.06</c:v>
                </c:pt>
                <c:pt idx="1">
                  <c:v>0.06</c:v>
                </c:pt>
                <c:pt idx="2">
                  <c:v>0.09</c:v>
                </c:pt>
              </c:numCache>
            </c:numRef>
          </c:val>
        </c:ser>
        <c:ser>
          <c:idx val="5"/>
          <c:order val="5"/>
          <c:tx>
            <c:strRef>
              <c:f>'Øvr forudsæt'!$F$61</c:f>
              <c:strCache>
                <c:ptCount val="1"/>
                <c:pt idx="0">
                  <c:v>Diverse</c:v>
                </c:pt>
              </c:strCache>
            </c:strRef>
          </c:tx>
          <c:invertIfNegative val="0"/>
          <c:cat>
            <c:strRef>
              <c:f>'Øvr forudsæt'!$H$54:$J$54</c:f>
              <c:strCache>
                <c:ptCount val="3"/>
                <c:pt idx="0">
                  <c:v>Offentlig</c:v>
                </c:pt>
                <c:pt idx="1">
                  <c:v>Handel</c:v>
                </c:pt>
                <c:pt idx="2">
                  <c:v>Priv. service</c:v>
                </c:pt>
              </c:strCache>
            </c:strRef>
          </c:cat>
          <c:val>
            <c:numRef>
              <c:f>'Øvr forudsæt'!$H$61:$J$61</c:f>
              <c:numCache>
                <c:formatCode>0%</c:formatCode>
                <c:ptCount val="3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8121728"/>
        <c:axId val="258123264"/>
      </c:barChart>
      <c:catAx>
        <c:axId val="25812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123264"/>
        <c:crosses val="autoZero"/>
        <c:auto val="1"/>
        <c:lblAlgn val="ctr"/>
        <c:lblOffset val="100"/>
        <c:noMultiLvlLbl val="0"/>
      </c:catAx>
      <c:valAx>
        <c:axId val="258123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581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2035: Nettoforbrug i alt</a:t>
            </a:r>
          </a:p>
        </c:rich>
      </c:tx>
      <c:layout>
        <c:manualLayout>
          <c:xMode val="edge"/>
          <c:yMode val="edge"/>
          <c:x val="0.36040666035702035"/>
          <c:y val="2.3167844387140153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 energi 2035'!$A$52</c:f>
              <c:strCache>
                <c:ptCount val="1"/>
                <c:pt idx="0">
                  <c:v>Husholdninger</c:v>
                </c:pt>
              </c:strCache>
            </c:strRef>
          </c:tx>
          <c:invertIfNegative val="0"/>
          <c:cat>
            <c:strRef>
              <c:f>'Res energi 2035'!$A$82:$A$86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2035'!$B$52:$C$52,'Res energi 2035'!$E$52,'Res energi 2035'!$G$52,'Res energi 2035'!$I$52)</c:f>
              <c:numCache>
                <c:formatCode>0.0</c:formatCode>
                <c:ptCount val="5"/>
                <c:pt idx="0">
                  <c:v>172.47809228286673</c:v>
                </c:pt>
                <c:pt idx="1">
                  <c:v>184.52974782345186</c:v>
                </c:pt>
                <c:pt idx="2">
                  <c:v>150.37092020296461</c:v>
                </c:pt>
                <c:pt idx="3">
                  <c:v>142.58369420697022</c:v>
                </c:pt>
                <c:pt idx="4">
                  <c:v>133.04314141364011</c:v>
                </c:pt>
              </c:numCache>
            </c:numRef>
          </c:val>
        </c:ser>
        <c:ser>
          <c:idx val="1"/>
          <c:order val="1"/>
          <c:tx>
            <c:strRef>
              <c:f>'Res energi 2035'!$A$53</c:f>
              <c:strCache>
                <c:ptCount val="1"/>
                <c:pt idx="0">
                  <c:v>Handel og service</c:v>
                </c:pt>
              </c:strCache>
            </c:strRef>
          </c:tx>
          <c:invertIfNegative val="0"/>
          <c:cat>
            <c:strRef>
              <c:f>'Res energi 2035'!$A$82:$A$86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2035'!$B$53:$C$53,'Res energi 2035'!$E$53,'Res energi 2035'!$G$53,'Res energi 2035'!$I$53)</c:f>
              <c:numCache>
                <c:formatCode>0.0</c:formatCode>
                <c:ptCount val="5"/>
                <c:pt idx="0">
                  <c:v>79.800400591248717</c:v>
                </c:pt>
                <c:pt idx="1">
                  <c:v>94.323064850568471</c:v>
                </c:pt>
                <c:pt idx="2">
                  <c:v>81.987116033420975</c:v>
                </c:pt>
                <c:pt idx="3">
                  <c:v>77.448811351526601</c:v>
                </c:pt>
                <c:pt idx="4">
                  <c:v>71.446286562074917</c:v>
                </c:pt>
              </c:numCache>
            </c:numRef>
          </c:val>
        </c:ser>
        <c:ser>
          <c:idx val="2"/>
          <c:order val="2"/>
          <c:tx>
            <c:strRef>
              <c:f>'Res energi 2035'!$A$54</c:f>
              <c:strCache>
                <c:ptCount val="1"/>
                <c:pt idx="0">
                  <c:v>Landbrug, gartneri, fiskeri</c:v>
                </c:pt>
              </c:strCache>
            </c:strRef>
          </c:tx>
          <c:invertIfNegative val="0"/>
          <c:cat>
            <c:strRef>
              <c:f>'Res energi 2035'!$A$82:$A$86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2035'!$B$54:$C$54,'Res energi 2035'!$E$54,'Res energi 2035'!$G$54,'Res energi 2035'!$I$54)</c:f>
              <c:numCache>
                <c:formatCode>0.0</c:formatCode>
                <c:ptCount val="5"/>
                <c:pt idx="0">
                  <c:v>17.639573184151537</c:v>
                </c:pt>
                <c:pt idx="1">
                  <c:v>23.133958051945637</c:v>
                </c:pt>
                <c:pt idx="2">
                  <c:v>21.893052621294807</c:v>
                </c:pt>
                <c:pt idx="3">
                  <c:v>20.663602673913992</c:v>
                </c:pt>
                <c:pt idx="4">
                  <c:v>19.316210849482893</c:v>
                </c:pt>
              </c:numCache>
            </c:numRef>
          </c:val>
        </c:ser>
        <c:ser>
          <c:idx val="3"/>
          <c:order val="3"/>
          <c:tx>
            <c:strRef>
              <c:f>'Res energi 2035'!$A$55</c:f>
              <c:strCache>
                <c:ptCount val="1"/>
                <c:pt idx="0">
                  <c:v>Fremstillingsvirksomhed</c:v>
                </c:pt>
              </c:strCache>
            </c:strRef>
          </c:tx>
          <c:invertIfNegative val="0"/>
          <c:cat>
            <c:strRef>
              <c:f>'Res energi 2035'!$A$82:$A$86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2035'!$B$55:$C$55,'Res energi 2035'!$E$55,'Res energi 2035'!$G$55,'Res energi 2035'!$I$55)</c:f>
              <c:numCache>
                <c:formatCode>0.0</c:formatCode>
                <c:ptCount val="5"/>
                <c:pt idx="0">
                  <c:v>87.960767516890826</c:v>
                </c:pt>
                <c:pt idx="1">
                  <c:v>110.03144961360979</c:v>
                </c:pt>
                <c:pt idx="2">
                  <c:v>95.555219154221348</c:v>
                </c:pt>
                <c:pt idx="3">
                  <c:v>91.539887793157249</c:v>
                </c:pt>
                <c:pt idx="4">
                  <c:v>85.015643454801918</c:v>
                </c:pt>
              </c:numCache>
            </c:numRef>
          </c:val>
        </c:ser>
        <c:ser>
          <c:idx val="4"/>
          <c:order val="4"/>
          <c:tx>
            <c:strRef>
              <c:f>'Res energi 2050'!$A$56</c:f>
              <c:strCache>
                <c:ptCount val="1"/>
                <c:pt idx="0">
                  <c:v>Bygge- og anlægsvirksomhed</c:v>
                </c:pt>
              </c:strCache>
            </c:strRef>
          </c:tx>
          <c:invertIfNegative val="0"/>
          <c:cat>
            <c:strRef>
              <c:f>'Res energi 2035'!$A$82:$A$86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2050'!$B$56:$C$56,'Res energi 2050'!$E$56,'Res energi 2050'!$G$56,'Res energi 2050'!$I$56)</c:f>
              <c:numCache>
                <c:formatCode>0.0</c:formatCode>
                <c:ptCount val="5"/>
                <c:pt idx="0">
                  <c:v>3.572114</c:v>
                </c:pt>
                <c:pt idx="1">
                  <c:v>5.8307860842289942</c:v>
                </c:pt>
                <c:pt idx="2">
                  <c:v>4.7568618424374378</c:v>
                </c:pt>
                <c:pt idx="3">
                  <c:v>4.4801760063981444</c:v>
                </c:pt>
                <c:pt idx="4">
                  <c:v>4.0019007702590423</c:v>
                </c:pt>
              </c:numCache>
            </c:numRef>
          </c:val>
        </c:ser>
        <c:ser>
          <c:idx val="5"/>
          <c:order val="5"/>
          <c:tx>
            <c:strRef>
              <c:f>'Res energi 2035'!$A$57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cat>
            <c:strRef>
              <c:f>'Res energi 2035'!$A$82:$A$86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2035'!$B$57:$C$57,'Res energi 2035'!$E$57,'Res energi 2035'!$G$57,'Res energi 2035'!$I$57)</c:f>
              <c:numCache>
                <c:formatCode>0.0</c:formatCode>
                <c:ptCount val="5"/>
                <c:pt idx="0">
                  <c:v>52.641499999999994</c:v>
                </c:pt>
                <c:pt idx="1">
                  <c:v>70.223952587392418</c:v>
                </c:pt>
                <c:pt idx="2">
                  <c:v>66.099760298462513</c:v>
                </c:pt>
                <c:pt idx="3">
                  <c:v>66.099760298462513</c:v>
                </c:pt>
                <c:pt idx="4">
                  <c:v>66.099760298462513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259778432"/>
        <c:axId val="259779968"/>
      </c:barChart>
      <c:catAx>
        <c:axId val="2597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779968"/>
        <c:crosses val="autoZero"/>
        <c:auto val="1"/>
        <c:lblAlgn val="ctr"/>
        <c:lblOffset val="100"/>
        <c:noMultiLvlLbl val="0"/>
      </c:catAx>
      <c:valAx>
        <c:axId val="2597799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5977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2035: </a:t>
            </a:r>
          </a:p>
          <a:p>
            <a:pPr>
              <a:defRPr/>
            </a:pPr>
            <a:r>
              <a:rPr lang="da-DK"/>
              <a:t>Nødvendigt</a:t>
            </a:r>
            <a:r>
              <a:rPr lang="da-DK" baseline="0"/>
              <a:t> elforbrug</a:t>
            </a:r>
            <a:endParaRPr lang="da-DK"/>
          </a:p>
        </c:rich>
      </c:tx>
      <c:layout>
        <c:manualLayout>
          <c:xMode val="edge"/>
          <c:yMode val="edge"/>
          <c:x val="0.31635149915321914"/>
          <c:y val="2.292397491926325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 energi 2035'!$A$52</c:f>
              <c:strCache>
                <c:ptCount val="1"/>
                <c:pt idx="0">
                  <c:v>Husholdninger</c:v>
                </c:pt>
              </c:strCache>
            </c:strRef>
          </c:tx>
          <c:invertIfNegative val="0"/>
          <c:cat>
            <c:strRef>
              <c:f>'Res energi 2035'!$A$82:$A$86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2035'!$K$52,'Res energi 2035'!$L$52,'Res energi 2035'!$N$52,'Res energi 2035'!$P$52,'Res energi 2035'!$R$52)</c:f>
              <c:numCache>
                <c:formatCode>0.0</c:formatCode>
                <c:ptCount val="5"/>
                <c:pt idx="0">
                  <c:v>31.303970478820005</c:v>
                </c:pt>
                <c:pt idx="1">
                  <c:v>38.769020054425006</c:v>
                </c:pt>
                <c:pt idx="2">
                  <c:v>31.146548620021143</c:v>
                </c:pt>
                <c:pt idx="3">
                  <c:v>28.98814941262977</c:v>
                </c:pt>
                <c:pt idx="4">
                  <c:v>27.258843840298443</c:v>
                </c:pt>
              </c:numCache>
            </c:numRef>
          </c:val>
        </c:ser>
        <c:ser>
          <c:idx val="1"/>
          <c:order val="1"/>
          <c:tx>
            <c:strRef>
              <c:f>'Res energi 2035'!$A$53</c:f>
              <c:strCache>
                <c:ptCount val="1"/>
                <c:pt idx="0">
                  <c:v>Handel og service</c:v>
                </c:pt>
              </c:strCache>
            </c:strRef>
          </c:tx>
          <c:invertIfNegative val="0"/>
          <c:cat>
            <c:strRef>
              <c:f>'Res energi 2035'!$A$82:$A$86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2035'!$K$53,'Res energi 2035'!$L$53,'Res energi 2035'!$N$53,'Res energi 2035'!$P$53,'Res energi 2035'!$R$53)</c:f>
              <c:numCache>
                <c:formatCode>0.0</c:formatCode>
                <c:ptCount val="5"/>
                <c:pt idx="0">
                  <c:v>33.263706394195452</c:v>
                </c:pt>
                <c:pt idx="1">
                  <c:v>43.583440733516269</c:v>
                </c:pt>
                <c:pt idx="2">
                  <c:v>36.993713045413834</c:v>
                </c:pt>
                <c:pt idx="3">
                  <c:v>35.166941470401866</c:v>
                </c:pt>
                <c:pt idx="4">
                  <c:v>31.792645826723607</c:v>
                </c:pt>
              </c:numCache>
            </c:numRef>
          </c:val>
        </c:ser>
        <c:ser>
          <c:idx val="2"/>
          <c:order val="2"/>
          <c:tx>
            <c:strRef>
              <c:f>'Res energi 2035'!$A$54</c:f>
              <c:strCache>
                <c:ptCount val="1"/>
                <c:pt idx="0">
                  <c:v>Landbrug, gartneri, fiskeri</c:v>
                </c:pt>
              </c:strCache>
            </c:strRef>
          </c:tx>
          <c:invertIfNegative val="0"/>
          <c:cat>
            <c:strRef>
              <c:f>'Res energi 2035'!$A$82:$A$86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2035'!$K$54,'Res energi 2035'!$L$54,'Res energi 2035'!$N$54,'Res energi 2035'!$P$54,'Res energi 2035'!$R$54)</c:f>
              <c:numCache>
                <c:formatCode>0.0</c:formatCode>
                <c:ptCount val="5"/>
                <c:pt idx="0">
                  <c:v>5.1627323565941223</c:v>
                </c:pt>
                <c:pt idx="1">
                  <c:v>7.0748938712617289</c:v>
                </c:pt>
                <c:pt idx="2">
                  <c:v>6.3635253174408488</c:v>
                </c:pt>
                <c:pt idx="3">
                  <c:v>5.8846398145565884</c:v>
                </c:pt>
                <c:pt idx="4">
                  <c:v>5.4813349047935169</c:v>
                </c:pt>
              </c:numCache>
            </c:numRef>
          </c:val>
        </c:ser>
        <c:ser>
          <c:idx val="3"/>
          <c:order val="3"/>
          <c:tx>
            <c:strRef>
              <c:f>'Res energi 2035'!$A$55</c:f>
              <c:strCache>
                <c:ptCount val="1"/>
                <c:pt idx="0">
                  <c:v>Fremstillingsvirksomhed</c:v>
                </c:pt>
              </c:strCache>
            </c:strRef>
          </c:tx>
          <c:invertIfNegative val="0"/>
          <c:cat>
            <c:strRef>
              <c:f>'Res energi 2035'!$A$82:$A$86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2035'!$K$55,'Res energi 2035'!$L$55,'Res energi 2035'!$N$55,'Res energi 2035'!$P$55,'Res energi 2035'!$R$55)</c:f>
              <c:numCache>
                <c:formatCode>0.0</c:formatCode>
                <c:ptCount val="5"/>
                <c:pt idx="0">
                  <c:v>27.863294250302356</c:v>
                </c:pt>
                <c:pt idx="1">
                  <c:v>36.879063667825321</c:v>
                </c:pt>
                <c:pt idx="2">
                  <c:v>31.690338574301123</c:v>
                </c:pt>
                <c:pt idx="3">
                  <c:v>30.674665985420514</c:v>
                </c:pt>
                <c:pt idx="4">
                  <c:v>28.572371913545435</c:v>
                </c:pt>
              </c:numCache>
            </c:numRef>
          </c:val>
        </c:ser>
        <c:ser>
          <c:idx val="4"/>
          <c:order val="4"/>
          <c:tx>
            <c:strRef>
              <c:f>'Res energi 2050'!$A$56</c:f>
              <c:strCache>
                <c:ptCount val="1"/>
                <c:pt idx="0">
                  <c:v>Bygge- og anlægsvirksomhed</c:v>
                </c:pt>
              </c:strCache>
            </c:strRef>
          </c:tx>
          <c:invertIfNegative val="0"/>
          <c:cat>
            <c:strRef>
              <c:f>'Res energi 2035'!$A$82:$A$86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2050'!$K$56,'Res energi 2050'!$L$56,'Res energi 2050'!$N$56,'Res energi 2050'!$P$56,'Res energi 2050'!$R$56)</c:f>
              <c:numCache>
                <c:formatCode>0.0</c:formatCode>
                <c:ptCount val="5"/>
                <c:pt idx="0">
                  <c:v>1.30158</c:v>
                </c:pt>
                <c:pt idx="1">
                  <c:v>2.4820199782995358</c:v>
                </c:pt>
                <c:pt idx="2">
                  <c:v>1.890023449480835</c:v>
                </c:pt>
                <c:pt idx="3">
                  <c:v>1.7685116963442751</c:v>
                </c:pt>
                <c:pt idx="4">
                  <c:v>1.5112872664853785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9820160"/>
        <c:axId val="259834240"/>
      </c:barChart>
      <c:catAx>
        <c:axId val="2598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59834240"/>
        <c:crosses val="autoZero"/>
        <c:auto val="1"/>
        <c:lblAlgn val="ctr"/>
        <c:lblOffset val="100"/>
        <c:noMultiLvlLbl val="0"/>
      </c:catAx>
      <c:valAx>
        <c:axId val="259834240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5982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2050: Nettoforbrug i alt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 energi 2050'!$A$52</c:f>
              <c:strCache>
                <c:ptCount val="1"/>
                <c:pt idx="0">
                  <c:v>Husholdninger</c:v>
                </c:pt>
              </c:strCache>
            </c:strRef>
          </c:tx>
          <c:invertIfNegative val="0"/>
          <c:cat>
            <c:strRef>
              <c:f>'Res energi 2050'!$A$82:$A$86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2050'!$B$52:$C$52,'Res energi 2050'!$E$52,'Res energi 2050'!$G$52,'Res energi 2050'!$I$52)</c:f>
              <c:numCache>
                <c:formatCode>0.0</c:formatCode>
                <c:ptCount val="5"/>
                <c:pt idx="0">
                  <c:v>172.47809228286673</c:v>
                </c:pt>
                <c:pt idx="1">
                  <c:v>190.90464604543754</c:v>
                </c:pt>
                <c:pt idx="2">
                  <c:v>131.12745631616463</c:v>
                </c:pt>
                <c:pt idx="3">
                  <c:v>116.85479185785137</c:v>
                </c:pt>
                <c:pt idx="4">
                  <c:v>99.473100221930949</c:v>
                </c:pt>
              </c:numCache>
            </c:numRef>
          </c:val>
        </c:ser>
        <c:ser>
          <c:idx val="1"/>
          <c:order val="1"/>
          <c:tx>
            <c:strRef>
              <c:f>'Res energi 2050'!$A$53</c:f>
              <c:strCache>
                <c:ptCount val="1"/>
                <c:pt idx="0">
                  <c:v>Handel og service</c:v>
                </c:pt>
              </c:strCache>
            </c:strRef>
          </c:tx>
          <c:invertIfNegative val="0"/>
          <c:cat>
            <c:strRef>
              <c:f>'Res energi 2050'!$A$82:$A$86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2050'!$B$53:$C$53,'Res energi 2050'!$E$53,'Res energi 2050'!$G$53,'Res energi 2050'!$I$53)</c:f>
              <c:numCache>
                <c:formatCode>0.0</c:formatCode>
                <c:ptCount val="5"/>
                <c:pt idx="0">
                  <c:v>79.800400591248717</c:v>
                </c:pt>
                <c:pt idx="1">
                  <c:v>103.19395091585741</c:v>
                </c:pt>
                <c:pt idx="2">
                  <c:v>80.689111638351875</c:v>
                </c:pt>
                <c:pt idx="3">
                  <c:v>72.266856076129528</c:v>
                </c:pt>
                <c:pt idx="4">
                  <c:v>60.312961947282098</c:v>
                </c:pt>
              </c:numCache>
            </c:numRef>
          </c:val>
        </c:ser>
        <c:ser>
          <c:idx val="2"/>
          <c:order val="2"/>
          <c:tx>
            <c:strRef>
              <c:f>'Res energi 2050'!$A$54</c:f>
              <c:strCache>
                <c:ptCount val="1"/>
                <c:pt idx="0">
                  <c:v>Landbrug, gartneri, fiskeri</c:v>
                </c:pt>
              </c:strCache>
            </c:strRef>
          </c:tx>
          <c:invertIfNegative val="0"/>
          <c:cat>
            <c:strRef>
              <c:f>'Res energi 2050'!$A$82:$A$86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2050'!$B$54:$C$54,'Res energi 2050'!$E$54,'Res energi 2050'!$G$54,'Res energi 2050'!$I$54)</c:f>
              <c:numCache>
                <c:formatCode>0.0</c:formatCode>
                <c:ptCount val="5"/>
                <c:pt idx="0">
                  <c:v>17.639573184151537</c:v>
                </c:pt>
                <c:pt idx="1">
                  <c:v>27.168106756855025</c:v>
                </c:pt>
                <c:pt idx="2">
                  <c:v>24.717835582946257</c:v>
                </c:pt>
                <c:pt idx="3">
                  <c:v>22.209949640422071</c:v>
                </c:pt>
                <c:pt idx="4">
                  <c:v>19.354944380700736</c:v>
                </c:pt>
              </c:numCache>
            </c:numRef>
          </c:val>
        </c:ser>
        <c:ser>
          <c:idx val="3"/>
          <c:order val="3"/>
          <c:tx>
            <c:strRef>
              <c:f>'Res energi 2050'!$A$55</c:f>
              <c:strCache>
                <c:ptCount val="1"/>
                <c:pt idx="0">
                  <c:v>Fremstillingsvirksomhed</c:v>
                </c:pt>
              </c:strCache>
            </c:strRef>
          </c:tx>
          <c:invertIfNegative val="0"/>
          <c:cat>
            <c:strRef>
              <c:f>'Res energi 2050'!$A$82:$A$86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2050'!$B$55:$C$55,'Res energi 2050'!$E$55,'Res energi 2050'!$G$55,'Res energi 2050'!$I$55)</c:f>
              <c:numCache>
                <c:formatCode>0.0</c:formatCode>
                <c:ptCount val="5"/>
                <c:pt idx="0">
                  <c:v>87.960767516890826</c:v>
                </c:pt>
                <c:pt idx="1">
                  <c:v>126.91283017811023</c:v>
                </c:pt>
                <c:pt idx="2">
                  <c:v>98.641792803600538</c:v>
                </c:pt>
                <c:pt idx="3">
                  <c:v>90.467405915798238</c:v>
                </c:pt>
                <c:pt idx="4">
                  <c:v>76.786120853061419</c:v>
                </c:pt>
              </c:numCache>
            </c:numRef>
          </c:val>
        </c:ser>
        <c:ser>
          <c:idx val="4"/>
          <c:order val="4"/>
          <c:tx>
            <c:strRef>
              <c:f>'Res energi 2050'!$A$56</c:f>
              <c:strCache>
                <c:ptCount val="1"/>
                <c:pt idx="0">
                  <c:v>Bygge- og anlægsvirksomhed</c:v>
                </c:pt>
              </c:strCache>
            </c:strRef>
          </c:tx>
          <c:invertIfNegative val="0"/>
          <c:cat>
            <c:strRef>
              <c:f>'Res energi 2050'!$A$82:$A$86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2050'!$B$56:$C$56,'Res energi 2050'!$E$56,'Res energi 2050'!$G$56,'Res energi 2050'!$I$56)</c:f>
              <c:numCache>
                <c:formatCode>0.0</c:formatCode>
                <c:ptCount val="5"/>
                <c:pt idx="0">
                  <c:v>3.572114</c:v>
                </c:pt>
                <c:pt idx="1">
                  <c:v>5.8307860842289942</c:v>
                </c:pt>
                <c:pt idx="2">
                  <c:v>4.7568618424374378</c:v>
                </c:pt>
                <c:pt idx="3">
                  <c:v>4.4801760063981444</c:v>
                </c:pt>
                <c:pt idx="4">
                  <c:v>4.0019007702590423</c:v>
                </c:pt>
              </c:numCache>
            </c:numRef>
          </c:val>
        </c:ser>
        <c:ser>
          <c:idx val="5"/>
          <c:order val="5"/>
          <c:tx>
            <c:strRef>
              <c:f>'Res energi 2050'!$A$57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cat>
            <c:strRef>
              <c:f>'Res energi 2050'!$A$82:$A$86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2050'!$B$57:$C$57,'Res energi 2050'!$E$57,'Res energi 2050'!$G$57,'Res energi 2050'!$I$57)</c:f>
              <c:numCache>
                <c:formatCode>0.0</c:formatCode>
                <c:ptCount val="5"/>
                <c:pt idx="0">
                  <c:v>52.641499999999994</c:v>
                </c:pt>
                <c:pt idx="1">
                  <c:v>83.286549435718271</c:v>
                </c:pt>
                <c:pt idx="2">
                  <c:v>76.168316145331403</c:v>
                </c:pt>
                <c:pt idx="3">
                  <c:v>76.168316145331403</c:v>
                </c:pt>
                <c:pt idx="4">
                  <c:v>76.168316145331403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269772672"/>
        <c:axId val="269774208"/>
      </c:barChart>
      <c:catAx>
        <c:axId val="26977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9774208"/>
        <c:crosses val="autoZero"/>
        <c:auto val="1"/>
        <c:lblAlgn val="ctr"/>
        <c:lblOffset val="100"/>
        <c:noMultiLvlLbl val="0"/>
      </c:catAx>
      <c:valAx>
        <c:axId val="2697742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6977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2050: Nødvendigt</a:t>
            </a:r>
            <a:r>
              <a:rPr lang="da-DK" baseline="0"/>
              <a:t> elforbrug</a:t>
            </a:r>
            <a:endParaRPr lang="da-DK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 energi 2050'!$A$52</c:f>
              <c:strCache>
                <c:ptCount val="1"/>
                <c:pt idx="0">
                  <c:v>Husholdninger</c:v>
                </c:pt>
              </c:strCache>
            </c:strRef>
          </c:tx>
          <c:invertIfNegative val="0"/>
          <c:cat>
            <c:strRef>
              <c:f>'Res energi 2050'!$A$82:$A$86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2050'!$K$52,'Res energi 2050'!$L$52,'Res energi 2050'!$N$52,'Res energi 2050'!$P$52,'Res energi 2050'!$R$52)</c:f>
              <c:numCache>
                <c:formatCode>0.0</c:formatCode>
                <c:ptCount val="5"/>
                <c:pt idx="0">
                  <c:v>31.303970478820005</c:v>
                </c:pt>
                <c:pt idx="1">
                  <c:v>43.61581202671811</c:v>
                </c:pt>
                <c:pt idx="2">
                  <c:v>28.756128710033501</c:v>
                </c:pt>
                <c:pt idx="3">
                  <c:v>24.069761266802349</c:v>
                </c:pt>
                <c:pt idx="4">
                  <c:v>20.343180699244311</c:v>
                </c:pt>
              </c:numCache>
            </c:numRef>
          </c:val>
        </c:ser>
        <c:ser>
          <c:idx val="1"/>
          <c:order val="1"/>
          <c:tx>
            <c:strRef>
              <c:f>'Res energi 2050'!$A$53</c:f>
              <c:strCache>
                <c:ptCount val="1"/>
                <c:pt idx="0">
                  <c:v>Handel og service</c:v>
                </c:pt>
              </c:strCache>
            </c:strRef>
          </c:tx>
          <c:invertIfNegative val="0"/>
          <c:cat>
            <c:strRef>
              <c:f>'Res energi 2050'!$A$82:$A$86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2050'!$K$53,'Res energi 2050'!$L$53,'Res energi 2050'!$N$53,'Res energi 2050'!$P$53,'Res energi 2050'!$R$53)</c:f>
              <c:numCache>
                <c:formatCode>0.0</c:formatCode>
                <c:ptCount val="5"/>
                <c:pt idx="0">
                  <c:v>33.263706394195452</c:v>
                </c:pt>
                <c:pt idx="1">
                  <c:v>51.143374765494883</c:v>
                </c:pt>
                <c:pt idx="2">
                  <c:v>38.018492642147578</c:v>
                </c:pt>
                <c:pt idx="3">
                  <c:v>34.172985035436739</c:v>
                </c:pt>
                <c:pt idx="4">
                  <c:v>26.842212493301489</c:v>
                </c:pt>
              </c:numCache>
            </c:numRef>
          </c:val>
        </c:ser>
        <c:ser>
          <c:idx val="2"/>
          <c:order val="2"/>
          <c:tx>
            <c:strRef>
              <c:f>'Res energi 2050'!$A$54</c:f>
              <c:strCache>
                <c:ptCount val="1"/>
                <c:pt idx="0">
                  <c:v>Landbrug, gartneri, fiskeri</c:v>
                </c:pt>
              </c:strCache>
            </c:strRef>
          </c:tx>
          <c:invertIfNegative val="0"/>
          <c:cat>
            <c:strRef>
              <c:f>'Res energi 2050'!$A$82:$A$86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2050'!$K$54,'Res energi 2050'!$L$54,'Res energi 2050'!$N$54,'Res energi 2050'!$P$54,'Res energi 2050'!$R$54)</c:f>
              <c:numCache>
                <c:formatCode>0.0</c:formatCode>
                <c:ptCount val="5"/>
                <c:pt idx="0">
                  <c:v>5.1627323565941223</c:v>
                </c:pt>
                <c:pt idx="1">
                  <c:v>8.5240386021329559</c:v>
                </c:pt>
                <c:pt idx="2">
                  <c:v>7.0880572764549923</c:v>
                </c:pt>
                <c:pt idx="3">
                  <c:v>6.0736263606911907</c:v>
                </c:pt>
                <c:pt idx="4">
                  <c:v>5.1902366262414912</c:v>
                </c:pt>
              </c:numCache>
            </c:numRef>
          </c:val>
        </c:ser>
        <c:ser>
          <c:idx val="3"/>
          <c:order val="3"/>
          <c:tx>
            <c:strRef>
              <c:f>'Res energi 2050'!$A$55</c:f>
              <c:strCache>
                <c:ptCount val="1"/>
                <c:pt idx="0">
                  <c:v>Fremstillingsvirksomhed</c:v>
                </c:pt>
              </c:strCache>
            </c:strRef>
          </c:tx>
          <c:invertIfNegative val="0"/>
          <c:cat>
            <c:strRef>
              <c:f>'Res energi 2050'!$A$82:$A$86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2050'!$K$55,'Res energi 2050'!$L$55,'Res energi 2050'!$N$55,'Res energi 2050'!$P$55,'Res energi 2050'!$R$55)</c:f>
              <c:numCache>
                <c:formatCode>0.0</c:formatCode>
                <c:ptCount val="5"/>
                <c:pt idx="0">
                  <c:v>27.863294250302356</c:v>
                </c:pt>
                <c:pt idx="1">
                  <c:v>44.051580931467235</c:v>
                </c:pt>
                <c:pt idx="2">
                  <c:v>33.544661878272784</c:v>
                </c:pt>
                <c:pt idx="3">
                  <c:v>31.388037485955483</c:v>
                </c:pt>
                <c:pt idx="4">
                  <c:v>26.822746759632313</c:v>
                </c:pt>
              </c:numCache>
            </c:numRef>
          </c:val>
        </c:ser>
        <c:ser>
          <c:idx val="4"/>
          <c:order val="4"/>
          <c:tx>
            <c:strRef>
              <c:f>'Res energi 2050'!$A$56</c:f>
              <c:strCache>
                <c:ptCount val="1"/>
                <c:pt idx="0">
                  <c:v>Bygge- og anlægsvirksomhed</c:v>
                </c:pt>
              </c:strCache>
            </c:strRef>
          </c:tx>
          <c:invertIfNegative val="0"/>
          <c:cat>
            <c:strRef>
              <c:f>'Res energi 2050'!$A$82:$A$86</c:f>
              <c:strCache>
                <c:ptCount val="5"/>
                <c:pt idx="0">
                  <c:v>2011</c:v>
                </c:pt>
                <c:pt idx="1">
                  <c:v>Frozen</c:v>
                </c:pt>
                <c:pt idx="2">
                  <c:v>Moderate</c:v>
                </c:pt>
                <c:pt idx="3">
                  <c:v>Moderat store</c:v>
                </c:pt>
                <c:pt idx="4">
                  <c:v>Meget store</c:v>
                </c:pt>
              </c:strCache>
            </c:strRef>
          </c:cat>
          <c:val>
            <c:numRef>
              <c:f>('Res energi 2050'!$K$56,'Res energi 2050'!$L$56,'Res energi 2050'!$N$56,'Res energi 2050'!$P$56,'Res energi 2050'!$R$56)</c:f>
              <c:numCache>
                <c:formatCode>0.0</c:formatCode>
                <c:ptCount val="5"/>
                <c:pt idx="0">
                  <c:v>1.30158</c:v>
                </c:pt>
                <c:pt idx="1">
                  <c:v>2.4820199782995358</c:v>
                </c:pt>
                <c:pt idx="2">
                  <c:v>1.890023449480835</c:v>
                </c:pt>
                <c:pt idx="3">
                  <c:v>1.7685116963442751</c:v>
                </c:pt>
                <c:pt idx="4">
                  <c:v>1.5112872664853785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75586048"/>
        <c:axId val="275591936"/>
      </c:barChart>
      <c:catAx>
        <c:axId val="275586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75591936"/>
        <c:crosses val="autoZero"/>
        <c:auto val="1"/>
        <c:lblAlgn val="ctr"/>
        <c:lblOffset val="100"/>
        <c:noMultiLvlLbl val="0"/>
      </c:catAx>
      <c:valAx>
        <c:axId val="275591936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7558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Husholdninger - netto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 energi 2050'!$A$89</c:f>
              <c:strCache>
                <c:ptCount val="1"/>
                <c:pt idx="0">
                  <c:v>Frozen</c:v>
                </c:pt>
              </c:strCache>
            </c:strRef>
          </c:tx>
          <c:marker>
            <c:symbol val="none"/>
          </c:marker>
          <c:cat>
            <c:numRef>
              <c:f>'Res energi 2050'!$B$88:$D$88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2050'!$B$89:$D$89</c:f>
              <c:numCache>
                <c:formatCode>0.0</c:formatCode>
                <c:ptCount val="3"/>
                <c:pt idx="0">
                  <c:v>172.47809228286673</c:v>
                </c:pt>
                <c:pt idx="1">
                  <c:v>184.52974782345186</c:v>
                </c:pt>
                <c:pt idx="2">
                  <c:v>190.90464604543754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 energi 2050'!$A$90</c:f>
              <c:strCache>
                <c:ptCount val="1"/>
                <c:pt idx="0">
                  <c:v>Reference</c:v>
                </c:pt>
              </c:strCache>
            </c:strRef>
          </c:tx>
          <c:marker>
            <c:symbol val="none"/>
          </c:marker>
          <c:cat>
            <c:numRef>
              <c:f>'Res energi 2050'!$B$88:$D$88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2050'!$B$90:$D$90</c:f>
              <c:numCache>
                <c:formatCode>0.0</c:formatCode>
                <c:ptCount val="3"/>
                <c:pt idx="0">
                  <c:v>172.47809228286673</c:v>
                </c:pt>
                <c:pt idx="1">
                  <c:v>150.37092020296461</c:v>
                </c:pt>
                <c:pt idx="2">
                  <c:v>131.12745631616463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 energi 2050'!$A$91</c:f>
              <c:strCache>
                <c:ptCount val="1"/>
                <c:pt idx="0">
                  <c:v>Moderat</c:v>
                </c:pt>
              </c:strCache>
            </c:strRef>
          </c:tx>
          <c:marker>
            <c:symbol val="none"/>
          </c:marker>
          <c:cat>
            <c:numRef>
              <c:f>'Res energi 2050'!$B$88:$D$88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2050'!$B$91:$D$91</c:f>
              <c:numCache>
                <c:formatCode>0.0</c:formatCode>
                <c:ptCount val="3"/>
                <c:pt idx="0">
                  <c:v>172.47809228286673</c:v>
                </c:pt>
                <c:pt idx="1">
                  <c:v>142.58369420697022</c:v>
                </c:pt>
                <c:pt idx="2">
                  <c:v>116.85479185785137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 energi 2050'!$A$92</c:f>
              <c:strCache>
                <c:ptCount val="1"/>
                <c:pt idx="0">
                  <c:v>Store</c:v>
                </c:pt>
              </c:strCache>
            </c:strRef>
          </c:tx>
          <c:marker>
            <c:symbol val="none"/>
          </c:marker>
          <c:cat>
            <c:numRef>
              <c:f>'Res energi 2050'!$B$88:$D$88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2050'!$B$92:$D$92</c:f>
              <c:numCache>
                <c:formatCode>0.0</c:formatCode>
                <c:ptCount val="3"/>
                <c:pt idx="0">
                  <c:v>172.47809228286673</c:v>
                </c:pt>
                <c:pt idx="1">
                  <c:v>133.04314141364011</c:v>
                </c:pt>
                <c:pt idx="2">
                  <c:v>99.473100221930949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620992"/>
        <c:axId val="275622528"/>
      </c:lineChart>
      <c:catAx>
        <c:axId val="2756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622528"/>
        <c:crosses val="autoZero"/>
        <c:auto val="1"/>
        <c:lblAlgn val="ctr"/>
        <c:lblOffset val="100"/>
        <c:noMultiLvlLbl val="0"/>
      </c:catAx>
      <c:valAx>
        <c:axId val="2756225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756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Handel og service - netto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 energi 2050'!$A$96</c:f>
              <c:strCache>
                <c:ptCount val="1"/>
                <c:pt idx="0">
                  <c:v>Frozen</c:v>
                </c:pt>
              </c:strCache>
            </c:strRef>
          </c:tx>
          <c:marker>
            <c:symbol val="none"/>
          </c:marker>
          <c:cat>
            <c:numRef>
              <c:f>'Res energi 2050'!$B$95:$D$95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2050'!$B$96:$D$96</c:f>
              <c:numCache>
                <c:formatCode>0.0</c:formatCode>
                <c:ptCount val="3"/>
                <c:pt idx="0">
                  <c:v>79.800400591248717</c:v>
                </c:pt>
                <c:pt idx="1">
                  <c:v>94.323064850568471</c:v>
                </c:pt>
                <c:pt idx="2">
                  <c:v>103.19395091585741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 energi 2050'!$A$97</c:f>
              <c:strCache>
                <c:ptCount val="1"/>
                <c:pt idx="0">
                  <c:v>Reference</c:v>
                </c:pt>
              </c:strCache>
            </c:strRef>
          </c:tx>
          <c:marker>
            <c:symbol val="none"/>
          </c:marker>
          <c:cat>
            <c:numRef>
              <c:f>'Res energi 2050'!$B$95:$D$95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2050'!$B$97:$D$97</c:f>
              <c:numCache>
                <c:formatCode>0.0</c:formatCode>
                <c:ptCount val="3"/>
                <c:pt idx="0">
                  <c:v>79.800400591248717</c:v>
                </c:pt>
                <c:pt idx="1">
                  <c:v>81.987116033420975</c:v>
                </c:pt>
                <c:pt idx="2">
                  <c:v>80.689111638351875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 energi 2050'!$A$98</c:f>
              <c:strCache>
                <c:ptCount val="1"/>
                <c:pt idx="0">
                  <c:v>Moderat</c:v>
                </c:pt>
              </c:strCache>
            </c:strRef>
          </c:tx>
          <c:marker>
            <c:symbol val="none"/>
          </c:marker>
          <c:cat>
            <c:numRef>
              <c:f>'Res energi 2050'!$B$95:$D$95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2050'!$B$98:$D$98</c:f>
              <c:numCache>
                <c:formatCode>0.0</c:formatCode>
                <c:ptCount val="3"/>
                <c:pt idx="0">
                  <c:v>79.800400591248717</c:v>
                </c:pt>
                <c:pt idx="1">
                  <c:v>77.448811351526601</c:v>
                </c:pt>
                <c:pt idx="2">
                  <c:v>72.266856076129528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 energi 2050'!$A$99</c:f>
              <c:strCache>
                <c:ptCount val="1"/>
                <c:pt idx="0">
                  <c:v>Store</c:v>
                </c:pt>
              </c:strCache>
            </c:strRef>
          </c:tx>
          <c:marker>
            <c:symbol val="none"/>
          </c:marker>
          <c:cat>
            <c:numRef>
              <c:f>'Res energi 2050'!$B$95:$D$95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2050'!$B$99:$D$99</c:f>
              <c:numCache>
                <c:formatCode>0.0</c:formatCode>
                <c:ptCount val="3"/>
                <c:pt idx="0">
                  <c:v>79.800400591248717</c:v>
                </c:pt>
                <c:pt idx="1">
                  <c:v>71.446286562074917</c:v>
                </c:pt>
                <c:pt idx="2">
                  <c:v>60.312961947282098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505152"/>
        <c:axId val="277506688"/>
      </c:lineChart>
      <c:catAx>
        <c:axId val="27750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506688"/>
        <c:crosses val="autoZero"/>
        <c:auto val="1"/>
        <c:lblAlgn val="ctr"/>
        <c:lblOffset val="100"/>
        <c:noMultiLvlLbl val="0"/>
      </c:catAx>
      <c:valAx>
        <c:axId val="2775066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7750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Fremstilling - netto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 energi 2050'!$A$104</c:f>
              <c:strCache>
                <c:ptCount val="1"/>
                <c:pt idx="0">
                  <c:v>Frozen</c:v>
                </c:pt>
              </c:strCache>
            </c:strRef>
          </c:tx>
          <c:marker>
            <c:symbol val="none"/>
          </c:marker>
          <c:cat>
            <c:numRef>
              <c:f>'Res energi 2050'!$B$103:$D$103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2050'!$B$104:$D$104</c:f>
              <c:numCache>
                <c:formatCode>General</c:formatCode>
                <c:ptCount val="3"/>
                <c:pt idx="0" formatCode="0.0">
                  <c:v>87.960767516890826</c:v>
                </c:pt>
                <c:pt idx="1">
                  <c:v>110.03144961360979</c:v>
                </c:pt>
                <c:pt idx="2" formatCode="0.0">
                  <c:v>126.91283017811023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 energi 2050'!$A$105</c:f>
              <c:strCache>
                <c:ptCount val="1"/>
                <c:pt idx="0">
                  <c:v>Reference</c:v>
                </c:pt>
              </c:strCache>
            </c:strRef>
          </c:tx>
          <c:marker>
            <c:symbol val="none"/>
          </c:marker>
          <c:cat>
            <c:numRef>
              <c:f>'Res energi 2050'!$B$103:$D$103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2050'!$B$105:$D$105</c:f>
              <c:numCache>
                <c:formatCode>General</c:formatCode>
                <c:ptCount val="3"/>
                <c:pt idx="0" formatCode="0.0">
                  <c:v>87.960767516890826</c:v>
                </c:pt>
                <c:pt idx="1">
                  <c:v>95.555219154221348</c:v>
                </c:pt>
                <c:pt idx="2" formatCode="0.0">
                  <c:v>98.641792803600538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 energi 2050'!$A$106</c:f>
              <c:strCache>
                <c:ptCount val="1"/>
                <c:pt idx="0">
                  <c:v>Moderat</c:v>
                </c:pt>
              </c:strCache>
            </c:strRef>
          </c:tx>
          <c:marker>
            <c:symbol val="none"/>
          </c:marker>
          <c:cat>
            <c:numRef>
              <c:f>'Res energi 2050'!$B$103:$D$103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2050'!$B$106:$D$106</c:f>
              <c:numCache>
                <c:formatCode>General</c:formatCode>
                <c:ptCount val="3"/>
                <c:pt idx="0" formatCode="0.0">
                  <c:v>87.960767516890826</c:v>
                </c:pt>
                <c:pt idx="1">
                  <c:v>91.539887793157249</c:v>
                </c:pt>
                <c:pt idx="2" formatCode="0.0">
                  <c:v>90.467405915798238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 energi 2050'!$A$107</c:f>
              <c:strCache>
                <c:ptCount val="1"/>
                <c:pt idx="0">
                  <c:v>Store</c:v>
                </c:pt>
              </c:strCache>
            </c:strRef>
          </c:tx>
          <c:marker>
            <c:symbol val="none"/>
          </c:marker>
          <c:cat>
            <c:numRef>
              <c:f>'Res energi 2050'!$B$103:$D$103</c:f>
              <c:numCache>
                <c:formatCode>General</c:formatCode>
                <c:ptCount val="3"/>
                <c:pt idx="0">
                  <c:v>2011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'Res energi 2050'!$B$107:$D$107</c:f>
              <c:numCache>
                <c:formatCode>General</c:formatCode>
                <c:ptCount val="3"/>
                <c:pt idx="0" formatCode="0.0">
                  <c:v>87.960767516890826</c:v>
                </c:pt>
                <c:pt idx="1">
                  <c:v>85.015643454801918</c:v>
                </c:pt>
                <c:pt idx="2" formatCode="0.0">
                  <c:v>76.786120853061419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73248"/>
        <c:axId val="275974784"/>
      </c:lineChart>
      <c:catAx>
        <c:axId val="2759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974784"/>
        <c:crosses val="autoZero"/>
        <c:auto val="1"/>
        <c:lblAlgn val="ctr"/>
        <c:lblOffset val="100"/>
        <c:noMultiLvlLbl val="0"/>
      </c:catAx>
      <c:valAx>
        <c:axId val="2759747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7597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62</xdr:row>
      <xdr:rowOff>4762</xdr:rowOff>
    </xdr:from>
    <xdr:to>
      <xdr:col>10</xdr:col>
      <xdr:colOff>390525</xdr:colOff>
      <xdr:row>76</xdr:row>
      <xdr:rowOff>123824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59</xdr:row>
      <xdr:rowOff>185737</xdr:rowOff>
    </xdr:from>
    <xdr:to>
      <xdr:col>18</xdr:col>
      <xdr:colOff>523875</xdr:colOff>
      <xdr:row>74</xdr:row>
      <xdr:rowOff>42862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60</xdr:row>
      <xdr:rowOff>13606</xdr:rowOff>
    </xdr:from>
    <xdr:to>
      <xdr:col>9</xdr:col>
      <xdr:colOff>272143</xdr:colOff>
      <xdr:row>80</xdr:row>
      <xdr:rowOff>40821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122463</xdr:colOff>
      <xdr:row>59</xdr:row>
      <xdr:rowOff>149678</xdr:rowOff>
    </xdr:from>
    <xdr:to>
      <xdr:col>21</xdr:col>
      <xdr:colOff>299356</xdr:colOff>
      <xdr:row>80</xdr:row>
      <xdr:rowOff>27214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60</xdr:row>
      <xdr:rowOff>13606</xdr:rowOff>
    </xdr:from>
    <xdr:to>
      <xdr:col>9</xdr:col>
      <xdr:colOff>272143</xdr:colOff>
      <xdr:row>80</xdr:row>
      <xdr:rowOff>40821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176892</xdr:colOff>
      <xdr:row>60</xdr:row>
      <xdr:rowOff>13607</xdr:rowOff>
    </xdr:from>
    <xdr:to>
      <xdr:col>21</xdr:col>
      <xdr:colOff>353785</xdr:colOff>
      <xdr:row>80</xdr:row>
      <xdr:rowOff>81643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317505</xdr:colOff>
      <xdr:row>82</xdr:row>
      <xdr:rowOff>152399</xdr:rowOff>
    </xdr:from>
    <xdr:to>
      <xdr:col>12</xdr:col>
      <xdr:colOff>370415</xdr:colOff>
      <xdr:row>95</xdr:row>
      <xdr:rowOff>74083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433924</xdr:colOff>
      <xdr:row>82</xdr:row>
      <xdr:rowOff>184149</xdr:rowOff>
    </xdr:from>
    <xdr:to>
      <xdr:col>19</xdr:col>
      <xdr:colOff>412750</xdr:colOff>
      <xdr:row>95</xdr:row>
      <xdr:rowOff>63500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317507</xdr:colOff>
      <xdr:row>96</xdr:row>
      <xdr:rowOff>46566</xdr:rowOff>
    </xdr:from>
    <xdr:to>
      <xdr:col>12</xdr:col>
      <xdr:colOff>127000</xdr:colOff>
      <xdr:row>108</xdr:row>
      <xdr:rowOff>42333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433917</xdr:colOff>
      <xdr:row>96</xdr:row>
      <xdr:rowOff>52916</xdr:rowOff>
    </xdr:from>
    <xdr:to>
      <xdr:col>19</xdr:col>
      <xdr:colOff>550334</xdr:colOff>
      <xdr:row>108</xdr:row>
      <xdr:rowOff>31750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21165</xdr:colOff>
      <xdr:row>118</xdr:row>
      <xdr:rowOff>190499</xdr:rowOff>
    </xdr:from>
    <xdr:to>
      <xdr:col>12</xdr:col>
      <xdr:colOff>529166</xdr:colOff>
      <xdr:row>130</xdr:row>
      <xdr:rowOff>127000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52916</xdr:colOff>
      <xdr:row>118</xdr:row>
      <xdr:rowOff>179917</xdr:rowOff>
    </xdr:from>
    <xdr:to>
      <xdr:col>20</xdr:col>
      <xdr:colOff>21166</xdr:colOff>
      <xdr:row>130</xdr:row>
      <xdr:rowOff>148167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21166</xdr:colOff>
      <xdr:row>130</xdr:row>
      <xdr:rowOff>127001</xdr:rowOff>
    </xdr:from>
    <xdr:to>
      <xdr:col>12</xdr:col>
      <xdr:colOff>571499</xdr:colOff>
      <xdr:row>142</xdr:row>
      <xdr:rowOff>105834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39</xdr:row>
      <xdr:rowOff>19050</xdr:rowOff>
    </xdr:from>
    <xdr:to>
      <xdr:col>21</xdr:col>
      <xdr:colOff>66675</xdr:colOff>
      <xdr:row>53</xdr:row>
      <xdr:rowOff>47625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23</xdr:row>
      <xdr:rowOff>9525</xdr:rowOff>
    </xdr:from>
    <xdr:to>
      <xdr:col>21</xdr:col>
      <xdr:colOff>76200</xdr:colOff>
      <xdr:row>37</xdr:row>
      <xdr:rowOff>180975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18</xdr:row>
      <xdr:rowOff>28575</xdr:rowOff>
    </xdr:from>
    <xdr:to>
      <xdr:col>15</xdr:col>
      <xdr:colOff>95250</xdr:colOff>
      <xdr:row>32</xdr:row>
      <xdr:rowOff>104775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uds&#230;tninger%20og%20input%20til%20forbrugsmodel/Energitjenester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uds&#230;tninger%20og%20input%20til%20forbrugsmodel/fjernvarme%20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uds&#230;tninger%20og%20input%20til%20forbrugsmodel/transport%20fra%20Mikk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ouds&#230;tninger%20og%20input%20til%20forbrugsmodel/&#216;konomi%20bygninger%20%20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ettoforbrug%202011%20april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fat"/>
      <sheetName val="Øko udvikling"/>
      <sheetName val="Boliger - arealer"/>
      <sheetName val="Boliger - apparater"/>
      <sheetName val="H&amp;S- opvarmning"/>
      <sheetName val="H&amp;S - el"/>
      <sheetName val="Produktion"/>
      <sheetName val="Transport"/>
      <sheetName val="Ark1"/>
      <sheetName val="Ark2"/>
    </sheetNames>
    <sheetDataSet>
      <sheetData sheetId="0"/>
      <sheetData sheetId="1">
        <row r="18">
          <cell r="B18">
            <v>1.3215161705098177E-2</v>
          </cell>
          <cell r="C18">
            <v>1.2499999999999956E-2</v>
          </cell>
          <cell r="D18">
            <v>1.2940039750192645E-2</v>
          </cell>
        </row>
        <row r="19">
          <cell r="B19">
            <v>1.1749059528412653E-2</v>
          </cell>
          <cell r="C19">
            <v>1.1918278800318705E-2</v>
          </cell>
          <cell r="D19">
            <v>1.1814140514638805E-2</v>
          </cell>
        </row>
        <row r="20">
          <cell r="B20">
            <v>1.7549216479401997E-2</v>
          </cell>
          <cell r="C20">
            <v>1.531378265490102E-2</v>
          </cell>
          <cell r="D20">
            <v>1.6688852369593388E-2</v>
          </cell>
        </row>
        <row r="22">
          <cell r="B22">
            <v>1.3159175118844235E-2</v>
          </cell>
          <cell r="C22">
            <v>1.5742884698618287E-2</v>
          </cell>
          <cell r="D22">
            <v>1.4152130895814796E-2</v>
          </cell>
        </row>
        <row r="23">
          <cell r="B23">
            <v>1.348308970021006E-2</v>
          </cell>
          <cell r="C23">
            <v>1.5554943794500842E-2</v>
          </cell>
          <cell r="D23">
            <v>1.4279455971260235E-2</v>
          </cell>
        </row>
        <row r="24">
          <cell r="B24">
            <v>6.1248141002396839E-3</v>
          </cell>
          <cell r="C24">
            <v>4.9845305545208607E-3</v>
          </cell>
          <cell r="D24">
            <v>5.6860904737183748E-3</v>
          </cell>
        </row>
        <row r="29">
          <cell r="B29">
            <v>1.5641921257166791E-2</v>
          </cell>
          <cell r="C29">
            <v>1.3312340455102323E-2</v>
          </cell>
          <cell r="D29">
            <v>1.4745295507787137E-2</v>
          </cell>
        </row>
      </sheetData>
      <sheetData sheetId="2">
        <row r="8">
          <cell r="E8">
            <v>4.5442184759652005E-3</v>
          </cell>
        </row>
        <row r="9">
          <cell r="E9">
            <v>7.8807770644484521E-4</v>
          </cell>
        </row>
        <row r="31">
          <cell r="C31">
            <v>1197.1867499999998</v>
          </cell>
          <cell r="G31">
            <v>1466</v>
          </cell>
          <cell r="N31">
            <v>1610</v>
          </cell>
        </row>
        <row r="33">
          <cell r="C33">
            <v>932.52300000000002</v>
          </cell>
          <cell r="G33">
            <v>1023</v>
          </cell>
          <cell r="N33">
            <v>1125</v>
          </cell>
        </row>
        <row r="37">
          <cell r="N37">
            <v>-5.4092027143750609E-3</v>
          </cell>
        </row>
        <row r="41">
          <cell r="C41">
            <v>153.79154279629057</v>
          </cell>
          <cell r="N41">
            <v>177</v>
          </cell>
        </row>
        <row r="42">
          <cell r="C42">
            <v>79.533811475409777</v>
          </cell>
          <cell r="G42">
            <v>83.46218809980806</v>
          </cell>
          <cell r="N42">
            <v>81.5</v>
          </cell>
        </row>
        <row r="45">
          <cell r="C45">
            <v>154.83092807796075</v>
          </cell>
          <cell r="G45">
            <v>191.8382</v>
          </cell>
          <cell r="N45">
            <v>215.09626410873781</v>
          </cell>
        </row>
        <row r="46">
          <cell r="C46">
            <v>68.820197399999998</v>
          </cell>
          <cell r="G46">
            <v>77.031899999999993</v>
          </cell>
          <cell r="N46">
            <v>87.856220551456289</v>
          </cell>
        </row>
      </sheetData>
      <sheetData sheetId="3"/>
      <sheetData sheetId="4">
        <row r="5">
          <cell r="B5">
            <v>121.7</v>
          </cell>
        </row>
        <row r="16">
          <cell r="G16">
            <v>81.38000000000001</v>
          </cell>
          <cell r="V16">
            <v>104.815</v>
          </cell>
          <cell r="AG16">
            <v>121.7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jv-andele"/>
      <sheetName val="2011-stat"/>
      <sheetName val="Ark3"/>
    </sheetNames>
    <sheetDataSet>
      <sheetData sheetId="0">
        <row r="6">
          <cell r="D6">
            <v>0.31892376375098558</v>
          </cell>
          <cell r="M6">
            <v>0.35988903243219372</v>
          </cell>
          <cell r="Q6">
            <v>0.38882301112629514</v>
          </cell>
        </row>
        <row r="7">
          <cell r="D7">
            <v>0.85760278095947418</v>
          </cell>
          <cell r="M7">
            <v>0.90260601605780444</v>
          </cell>
          <cell r="Q7">
            <v>0.91188137788535395</v>
          </cell>
        </row>
        <row r="18">
          <cell r="D18">
            <v>0.71307869199263874</v>
          </cell>
          <cell r="M18">
            <v>0.77490287953035331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  <sheetName val="Ark2"/>
      <sheetName val="Ark3"/>
    </sheetNames>
    <sheetDataSet>
      <sheetData sheetId="0">
        <row r="25">
          <cell r="G25">
            <v>2.5000000000000001E-3</v>
          </cell>
          <cell r="S25">
            <v>1.6666666666666668E-3</v>
          </cell>
        </row>
        <row r="26">
          <cell r="G26">
            <v>5.0000000000000001E-4</v>
          </cell>
          <cell r="S26">
            <v>2.5000000000000001E-4</v>
          </cell>
        </row>
        <row r="27">
          <cell r="G27">
            <v>5.0000000000000001E-4</v>
          </cell>
          <cell r="S27">
            <v>2.5000000000000001E-4</v>
          </cell>
        </row>
        <row r="28">
          <cell r="G28">
            <v>5.0000000000000001E-4</v>
          </cell>
          <cell r="S28">
            <v>2.5000000000000001E-4</v>
          </cell>
        </row>
        <row r="29">
          <cell r="G29">
            <v>5.0000000000000001E-4</v>
          </cell>
          <cell r="S29">
            <v>2.5000000000000001E-4</v>
          </cell>
        </row>
        <row r="30">
          <cell r="G30">
            <v>5.0000000000000001E-4</v>
          </cell>
          <cell r="S30">
            <v>2.5000000000000001E-4</v>
          </cell>
        </row>
        <row r="31">
          <cell r="G31">
            <v>0</v>
          </cell>
          <cell r="S31">
            <v>0</v>
          </cell>
        </row>
        <row r="32">
          <cell r="G32">
            <v>0</v>
          </cell>
          <cell r="S32">
            <v>0</v>
          </cell>
        </row>
        <row r="34">
          <cell r="G34">
            <v>0</v>
          </cell>
          <cell r="S34">
            <v>0</v>
          </cell>
        </row>
        <row r="35">
          <cell r="G35">
            <v>0</v>
          </cell>
          <cell r="S35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udsæt 2010"/>
      <sheetName val="Bereg 2010"/>
      <sheetName val="Bereg 2013"/>
      <sheetName val="2013"/>
    </sheetNames>
    <sheetDataSet>
      <sheetData sheetId="0"/>
      <sheetData sheetId="1"/>
      <sheetData sheetId="2"/>
      <sheetData sheetId="3">
        <row r="30">
          <cell r="T30">
            <v>0.27960000000000002</v>
          </cell>
          <cell r="U30">
            <v>1.96</v>
          </cell>
        </row>
        <row r="31">
          <cell r="T31">
            <v>0.26090000000000002</v>
          </cell>
          <cell r="U31">
            <v>1.83</v>
          </cell>
        </row>
        <row r="32">
          <cell r="T32">
            <v>0.15709999999999999</v>
          </cell>
          <cell r="U32">
            <v>2.5499999999999998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fat"/>
      <sheetName val="Hush"/>
      <sheetName val="H&amp;S"/>
      <sheetName val="Prod"/>
      <sheetName val="Transport"/>
    </sheetNames>
    <sheetDataSet>
      <sheetData sheetId="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0.18884156518799999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69.087483107984525</v>
          </cell>
          <cell r="Q8">
            <v>32.330972362752135</v>
          </cell>
          <cell r="R8">
            <v>22.38472518771707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5.6537451112498891</v>
          </cell>
          <cell r="Q9">
            <v>33.913079656872192</v>
          </cell>
          <cell r="R9">
            <v>8.9192452911029356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2.9855357447127275</v>
          </cell>
          <cell r="Q10">
            <v>9.86587102016051</v>
          </cell>
          <cell r="R10">
            <v>8.5879049013590656</v>
          </cell>
        </row>
        <row r="11">
          <cell r="B11">
            <v>0</v>
          </cell>
          <cell r="C11">
            <v>5.3552472358722354E-2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0.64449560810810802</v>
          </cell>
          <cell r="M11">
            <v>0.13210853808353817</v>
          </cell>
          <cell r="N11">
            <v>0</v>
          </cell>
          <cell r="O11">
            <v>0.13210853808353806</v>
          </cell>
          <cell r="P11">
            <v>1.2697173837568572</v>
          </cell>
          <cell r="Q11">
            <v>4.1245193343134954</v>
          </cell>
          <cell r="R11">
            <v>5.2164299741900901</v>
          </cell>
        </row>
        <row r="12">
          <cell r="B12">
            <v>0</v>
          </cell>
          <cell r="C12">
            <v>2.00173326913818E-3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4.664038517091959E-2</v>
          </cell>
          <cell r="M12">
            <v>9.3280770341839167E-2</v>
          </cell>
          <cell r="N12">
            <v>0</v>
          </cell>
          <cell r="O12">
            <v>9.3280770341839223E-2</v>
          </cell>
          <cell r="P12">
            <v>1.0471586218760041</v>
          </cell>
          <cell r="Q12">
            <v>2.7523719926209695</v>
          </cell>
          <cell r="R12">
            <v>6.2301539305198768</v>
          </cell>
        </row>
        <row r="13">
          <cell r="B13">
            <v>0</v>
          </cell>
          <cell r="C13">
            <v>4.3149536883890179E-2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0.55812987925901425</v>
          </cell>
          <cell r="M13">
            <v>1.1434627274230897</v>
          </cell>
          <cell r="N13">
            <v>0</v>
          </cell>
          <cell r="O13">
            <v>0.98899989249090281</v>
          </cell>
          <cell r="P13">
            <v>8.2855825966527323</v>
          </cell>
          <cell r="Q13">
            <v>12.274726651145427</v>
          </cell>
          <cell r="R13">
            <v>13.229217588126421</v>
          </cell>
        </row>
        <row r="14">
          <cell r="B14">
            <v>0</v>
          </cell>
          <cell r="C14">
            <v>0</v>
          </cell>
          <cell r="D14">
            <v>2.9625653468126929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0.90802026818309467</v>
          </cell>
          <cell r="K14">
            <v>1.8805711668070766</v>
          </cell>
          <cell r="L14">
            <v>0.72344429935411381</v>
          </cell>
          <cell r="M14">
            <v>0</v>
          </cell>
          <cell r="N14">
            <v>0</v>
          </cell>
          <cell r="O14">
            <v>0</v>
          </cell>
          <cell r="P14">
            <v>0.14943056725638865</v>
          </cell>
          <cell r="Q14">
            <v>0</v>
          </cell>
          <cell r="R14">
            <v>4.2057608817747827</v>
          </cell>
        </row>
        <row r="15">
          <cell r="B15">
            <v>0</v>
          </cell>
          <cell r="C15">
            <v>0</v>
          </cell>
          <cell r="D15">
            <v>2.6405440344734719E-2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3.4419926743872882</v>
          </cell>
          <cell r="L15">
            <v>0.38244363048747571</v>
          </cell>
          <cell r="M15">
            <v>0</v>
          </cell>
          <cell r="N15">
            <v>0</v>
          </cell>
          <cell r="O15">
            <v>0</v>
          </cell>
          <cell r="P15">
            <v>3.4094936708860754E-2</v>
          </cell>
          <cell r="Q15">
            <v>0</v>
          </cell>
          <cell r="R15">
            <v>0.8139259359008888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1.9600441343893082</v>
          </cell>
          <cell r="J16">
            <v>7.8283628263828738E-3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0.14304553891845068</v>
          </cell>
        </row>
        <row r="17">
          <cell r="B17">
            <v>0</v>
          </cell>
          <cell r="C17">
            <v>0</v>
          </cell>
          <cell r="D17">
            <v>0.10375831446472253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0.85146237344390796</v>
          </cell>
          <cell r="K17">
            <v>1.2548442940866229</v>
          </cell>
          <cell r="L17">
            <v>5.9356455500086387</v>
          </cell>
          <cell r="M17">
            <v>13.547206904865831</v>
          </cell>
          <cell r="N17">
            <v>4.2051320857316972</v>
          </cell>
          <cell r="O17">
            <v>19.682428308826871</v>
          </cell>
          <cell r="P17">
            <v>9.6586551782329035</v>
          </cell>
          <cell r="Q17">
            <v>4.8583402569272733</v>
          </cell>
          <cell r="R17">
            <v>27.863294250302356</v>
          </cell>
        </row>
        <row r="18">
          <cell r="B18">
            <v>0</v>
          </cell>
          <cell r="C18">
            <v>0</v>
          </cell>
          <cell r="D18">
            <v>0.82433400000000001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0.72310000000000008</v>
          </cell>
          <cell r="K18">
            <v>0.72310000000000008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1.30158</v>
          </cell>
        </row>
        <row r="19">
          <cell r="B19">
            <v>17.837999999999997</v>
          </cell>
          <cell r="C19">
            <v>7.1520000000000001</v>
          </cell>
          <cell r="D19">
            <v>7.3874999999999993</v>
          </cell>
          <cell r="E19">
            <v>2.16</v>
          </cell>
          <cell r="F19">
            <v>0.16000000000000003</v>
          </cell>
          <cell r="G19">
            <v>13.384</v>
          </cell>
          <cell r="H19">
            <v>2.3235000000000001</v>
          </cell>
          <cell r="I19">
            <v>2.2364999999999999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</sheetData>
      <sheetData sheetId="1"/>
      <sheetData sheetId="2"/>
      <sheetData sheetId="3"/>
      <sheetData sheetId="4">
        <row r="18">
          <cell r="N18">
            <v>17.837999999999997</v>
          </cell>
        </row>
        <row r="19">
          <cell r="N19">
            <v>7.1520000000000001</v>
          </cell>
        </row>
        <row r="20">
          <cell r="N20">
            <v>7.02</v>
          </cell>
        </row>
        <row r="21">
          <cell r="N21">
            <v>2.16</v>
          </cell>
        </row>
        <row r="22">
          <cell r="N22">
            <v>0.16000000000000003</v>
          </cell>
        </row>
        <row r="23">
          <cell r="N23">
            <v>1.1795</v>
          </cell>
        </row>
        <row r="24">
          <cell r="N24">
            <v>1.1439999999999999</v>
          </cell>
        </row>
        <row r="25">
          <cell r="N25">
            <v>2.2364999999999999</v>
          </cell>
        </row>
        <row r="26">
          <cell r="N26">
            <v>12.824</v>
          </cell>
        </row>
        <row r="27">
          <cell r="N27">
            <v>0.55999999999999994</v>
          </cell>
        </row>
        <row r="28">
          <cell r="N28">
            <v>0.36749999999999999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2"/>
  <sheetViews>
    <sheetView tabSelected="1" workbookViewId="0">
      <selection activeCell="C26" sqref="C26"/>
    </sheetView>
  </sheetViews>
  <sheetFormatPr defaultRowHeight="15" x14ac:dyDescent="0.25"/>
  <sheetData>
    <row r="1" spans="1:13" x14ac:dyDescent="0.25">
      <c r="A1" s="118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</row>
    <row r="2" spans="1:13" ht="21" x14ac:dyDescent="0.35">
      <c r="A2" s="1021" t="s">
        <v>391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28"/>
    </row>
    <row r="3" spans="1:13" x14ac:dyDescent="0.25">
      <c r="A3" s="12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28"/>
    </row>
    <row r="4" spans="1:13" x14ac:dyDescent="0.25">
      <c r="A4" s="12" t="s">
        <v>392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28"/>
    </row>
    <row r="5" spans="1:13" x14ac:dyDescent="0.25">
      <c r="A5" s="12" t="s">
        <v>393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28"/>
    </row>
    <row r="6" spans="1:13" x14ac:dyDescent="0.25">
      <c r="A6" s="12" t="s">
        <v>394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28"/>
    </row>
    <row r="7" spans="1:13" x14ac:dyDescent="0.25">
      <c r="A7" s="12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28"/>
    </row>
    <row r="8" spans="1:13" x14ac:dyDescent="0.25">
      <c r="A8" s="12" t="s">
        <v>395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28"/>
    </row>
    <row r="9" spans="1:13" x14ac:dyDescent="0.25">
      <c r="A9" s="12" t="s">
        <v>396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28"/>
    </row>
    <row r="10" spans="1:13" x14ac:dyDescent="0.25">
      <c r="A10" s="12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8"/>
    </row>
    <row r="11" spans="1:13" x14ac:dyDescent="0.25">
      <c r="A11" s="12" t="s">
        <v>397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28"/>
    </row>
    <row r="12" spans="1:13" x14ac:dyDescent="0.25">
      <c r="A12" s="12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8"/>
    </row>
    <row r="13" spans="1:13" x14ac:dyDescent="0.25">
      <c r="A13" s="12" t="s">
        <v>398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8"/>
    </row>
    <row r="14" spans="1:13" x14ac:dyDescent="0.25">
      <c r="A14" s="12"/>
      <c r="B14" s="18"/>
      <c r="C14" s="18"/>
      <c r="D14" s="18"/>
      <c r="E14" s="18"/>
      <c r="F14" s="18"/>
      <c r="G14" s="18"/>
      <c r="H14" s="18"/>
      <c r="I14" s="1022" t="s">
        <v>399</v>
      </c>
      <c r="J14" s="127"/>
      <c r="K14" s="18"/>
      <c r="L14" s="18"/>
      <c r="M14" s="28"/>
    </row>
    <row r="15" spans="1:13" x14ac:dyDescent="0.25">
      <c r="A15" s="12"/>
      <c r="B15" s="18"/>
      <c r="C15" s="18"/>
      <c r="D15" s="18"/>
      <c r="E15" s="18"/>
      <c r="F15" s="18"/>
      <c r="G15" s="18"/>
      <c r="H15" s="18"/>
      <c r="I15" s="1022" t="s">
        <v>400</v>
      </c>
      <c r="J15" s="127"/>
      <c r="K15" s="18"/>
      <c r="L15" s="18"/>
      <c r="M15" s="28"/>
    </row>
    <row r="16" spans="1:13" x14ac:dyDescent="0.25">
      <c r="A16" s="12"/>
      <c r="B16" s="18"/>
      <c r="C16" s="18"/>
      <c r="D16" s="18"/>
      <c r="E16" s="18"/>
      <c r="F16" s="18"/>
      <c r="G16" s="18"/>
      <c r="H16" s="18"/>
      <c r="I16" s="1022" t="s">
        <v>401</v>
      </c>
      <c r="J16" s="127"/>
      <c r="K16" s="18"/>
      <c r="L16" s="18"/>
      <c r="M16" s="28"/>
    </row>
    <row r="17" spans="1:13" x14ac:dyDescent="0.25">
      <c r="A17" s="12"/>
      <c r="B17" s="18"/>
      <c r="C17" s="18"/>
      <c r="D17" s="18"/>
      <c r="E17" s="18"/>
      <c r="F17" s="18"/>
      <c r="G17" s="18"/>
      <c r="H17" s="18"/>
      <c r="I17" s="1022" t="s">
        <v>402</v>
      </c>
      <c r="J17" s="127"/>
      <c r="K17" s="18"/>
      <c r="L17" s="18"/>
      <c r="M17" s="28"/>
    </row>
    <row r="18" spans="1:13" x14ac:dyDescent="0.25">
      <c r="A18" s="12"/>
      <c r="B18" s="18"/>
      <c r="C18" s="18"/>
      <c r="D18" s="18"/>
      <c r="E18" s="18"/>
      <c r="F18" s="18"/>
      <c r="G18" s="18"/>
      <c r="H18" s="18"/>
      <c r="I18" s="1022" t="s">
        <v>410</v>
      </c>
      <c r="J18" s="127"/>
      <c r="K18" s="18"/>
      <c r="L18" s="18"/>
      <c r="M18" s="28"/>
    </row>
    <row r="19" spans="1:13" x14ac:dyDescent="0.25">
      <c r="A19" s="12" t="s">
        <v>403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28"/>
    </row>
    <row r="20" spans="1:13" x14ac:dyDescent="0.25">
      <c r="A20" s="12" t="s">
        <v>413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28"/>
    </row>
    <row r="21" spans="1:13" x14ac:dyDescent="0.25">
      <c r="A21" s="12" t="s">
        <v>414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28"/>
    </row>
    <row r="22" spans="1:13" x14ac:dyDescent="0.25">
      <c r="A22" s="12" t="s">
        <v>404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28"/>
    </row>
    <row r="23" spans="1:13" x14ac:dyDescent="0.25">
      <c r="H23" s="18"/>
      <c r="I23" s="18"/>
      <c r="J23" s="18"/>
      <c r="K23" s="18"/>
      <c r="L23" s="18"/>
      <c r="M23" s="28"/>
    </row>
    <row r="24" spans="1:13" x14ac:dyDescent="0.25">
      <c r="A24" s="12" t="s">
        <v>405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28"/>
    </row>
    <row r="25" spans="1:13" x14ac:dyDescent="0.25">
      <c r="A25" s="12"/>
      <c r="B25" s="18"/>
      <c r="C25" s="18"/>
      <c r="D25" s="18"/>
      <c r="E25" s="18"/>
      <c r="F25" s="1023" t="s">
        <v>406</v>
      </c>
      <c r="G25" s="292"/>
      <c r="H25" s="18"/>
      <c r="I25" s="18"/>
      <c r="J25" s="18"/>
      <c r="K25" s="18"/>
      <c r="L25" s="18"/>
      <c r="M25" s="28"/>
    </row>
    <row r="26" spans="1:13" x14ac:dyDescent="0.25">
      <c r="A26" s="12"/>
      <c r="B26" s="18"/>
      <c r="C26" s="18"/>
      <c r="D26" s="18"/>
      <c r="E26" s="18"/>
      <c r="F26" s="1023" t="s">
        <v>407</v>
      </c>
      <c r="G26" s="292"/>
      <c r="H26" s="18"/>
      <c r="I26" s="18"/>
      <c r="J26" s="18"/>
      <c r="K26" s="18"/>
      <c r="L26" s="18"/>
      <c r="M26" s="28"/>
    </row>
    <row r="27" spans="1:13" x14ac:dyDescent="0.25">
      <c r="A27" s="12"/>
      <c r="B27" s="18"/>
      <c r="C27" s="18"/>
      <c r="D27" s="18"/>
      <c r="E27" s="18"/>
      <c r="F27" s="1023" t="s">
        <v>408</v>
      </c>
      <c r="G27" s="292"/>
      <c r="H27" s="18"/>
      <c r="I27" s="18"/>
      <c r="J27" s="18"/>
      <c r="K27" s="18"/>
      <c r="L27" s="18"/>
      <c r="M27" s="28"/>
    </row>
    <row r="28" spans="1:13" x14ac:dyDescent="0.25">
      <c r="A28" s="12"/>
      <c r="B28" s="18"/>
      <c r="C28" s="18"/>
      <c r="D28" s="18"/>
      <c r="E28" s="18"/>
      <c r="F28" s="1023" t="s">
        <v>409</v>
      </c>
      <c r="G28" s="292"/>
      <c r="H28" s="18"/>
      <c r="I28" s="18"/>
      <c r="J28" s="18"/>
      <c r="K28" s="18"/>
      <c r="L28" s="18"/>
      <c r="M28" s="28"/>
    </row>
    <row r="29" spans="1:13" x14ac:dyDescent="0.25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28"/>
    </row>
    <row r="30" spans="1:13" x14ac:dyDescent="0.25">
      <c r="A30" s="12" t="s">
        <v>411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28"/>
    </row>
    <row r="31" spans="1:13" x14ac:dyDescent="0.25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28"/>
    </row>
    <row r="32" spans="1:13" ht="15.75" thickBot="1" x14ac:dyDescent="0.3">
      <c r="A32" s="1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U112"/>
  <sheetViews>
    <sheetView topLeftCell="A55" workbookViewId="0">
      <selection activeCell="L85" sqref="L85"/>
    </sheetView>
  </sheetViews>
  <sheetFormatPr defaultRowHeight="15" x14ac:dyDescent="0.25"/>
  <cols>
    <col min="1" max="1" width="7.140625" customWidth="1"/>
    <col min="2" max="2" width="25.140625" customWidth="1"/>
    <col min="3" max="3" width="12.7109375" customWidth="1"/>
    <col min="4" max="4" width="10.5703125" bestFit="1" customWidth="1"/>
    <col min="7" max="7" width="14.28515625" customWidth="1"/>
    <col min="8" max="8" width="12.85546875" customWidth="1"/>
    <col min="13" max="13" width="12.42578125" customWidth="1"/>
    <col min="17" max="17" width="11.140625" customWidth="1"/>
  </cols>
  <sheetData>
    <row r="1" spans="1:21" ht="18.75" x14ac:dyDescent="0.3">
      <c r="A1" s="6" t="s">
        <v>377</v>
      </c>
    </row>
    <row r="2" spans="1:21" x14ac:dyDescent="0.25">
      <c r="A2" t="s">
        <v>376</v>
      </c>
    </row>
    <row r="3" spans="1:21" ht="15.75" thickBot="1" x14ac:dyDescent="0.3"/>
    <row r="4" spans="1:21" ht="18.75" x14ac:dyDescent="0.3">
      <c r="A4" s="430" t="s">
        <v>210</v>
      </c>
      <c r="B4" s="230"/>
      <c r="C4" s="1084"/>
      <c r="D4" s="1084"/>
      <c r="E4" s="1084"/>
      <c r="F4" s="1084"/>
      <c r="G4" s="1084"/>
      <c r="H4" s="1084"/>
      <c r="I4" s="1084"/>
      <c r="J4" s="1084"/>
      <c r="K4" s="338"/>
      <c r="L4" s="338"/>
      <c r="M4" s="428"/>
      <c r="O4" s="1085" t="s">
        <v>106</v>
      </c>
      <c r="P4" s="1086"/>
      <c r="Q4" s="1085" t="s">
        <v>386</v>
      </c>
      <c r="R4" s="1086"/>
      <c r="S4" s="1085" t="s">
        <v>89</v>
      </c>
      <c r="T4" s="1086"/>
    </row>
    <row r="5" spans="1:21" x14ac:dyDescent="0.25">
      <c r="A5" s="12"/>
      <c r="B5" s="18"/>
      <c r="C5" s="1082" t="s">
        <v>198</v>
      </c>
      <c r="D5" s="1083"/>
      <c r="E5" s="1083"/>
      <c r="F5" s="1082" t="s">
        <v>103</v>
      </c>
      <c r="G5" s="1083"/>
      <c r="H5" s="1083"/>
      <c r="I5" s="1082" t="s">
        <v>203</v>
      </c>
      <c r="J5" s="1083"/>
      <c r="K5" s="341" t="s">
        <v>35</v>
      </c>
      <c r="L5" s="341" t="s">
        <v>34</v>
      </c>
      <c r="M5" s="429" t="s">
        <v>204</v>
      </c>
      <c r="N5" s="113"/>
      <c r="O5" s="71" t="s">
        <v>385</v>
      </c>
      <c r="P5" s="5" t="s">
        <v>180</v>
      </c>
      <c r="Q5" s="71" t="s">
        <v>385</v>
      </c>
      <c r="R5" s="5" t="s">
        <v>180</v>
      </c>
      <c r="S5" s="71" t="s">
        <v>385</v>
      </c>
      <c r="T5" s="5" t="s">
        <v>180</v>
      </c>
      <c r="U5" s="5"/>
    </row>
    <row r="6" spans="1:21" x14ac:dyDescent="0.25">
      <c r="A6" s="12"/>
      <c r="B6" s="18"/>
      <c r="C6" s="344" t="s">
        <v>199</v>
      </c>
      <c r="D6" s="345" t="s">
        <v>97</v>
      </c>
      <c r="E6" s="345" t="s">
        <v>200</v>
      </c>
      <c r="F6" s="344" t="s">
        <v>201</v>
      </c>
      <c r="G6" s="345" t="s">
        <v>97</v>
      </c>
      <c r="H6" s="345" t="s">
        <v>200</v>
      </c>
      <c r="I6" s="344" t="s">
        <v>202</v>
      </c>
      <c r="J6" s="345" t="s">
        <v>116</v>
      </c>
      <c r="K6" s="344"/>
      <c r="L6" s="344"/>
      <c r="M6" s="429" t="s">
        <v>205</v>
      </c>
      <c r="N6" s="1008" t="s">
        <v>136</v>
      </c>
      <c r="O6" s="66"/>
      <c r="P6" s="41">
        <f>+D32+D47+D60</f>
        <v>190.71580448024957</v>
      </c>
      <c r="Q6" s="66"/>
      <c r="R6" s="41">
        <f>+D69+D77+D85</f>
        <v>96.579996814582273</v>
      </c>
      <c r="S6" s="66"/>
      <c r="T6" s="293">
        <f>+D95+D103</f>
        <v>159.91172301919426</v>
      </c>
    </row>
    <row r="7" spans="1:21" x14ac:dyDescent="0.25">
      <c r="A7" s="12"/>
      <c r="B7" s="18" t="s">
        <v>54</v>
      </c>
      <c r="C7" s="73">
        <f>+E50</f>
        <v>33.340922256727694</v>
      </c>
      <c r="D7" s="41">
        <f>+E35</f>
        <v>11.576584155860624</v>
      </c>
      <c r="E7" s="41">
        <f>+E61</f>
        <v>14.85968331668461</v>
      </c>
      <c r="F7" s="73">
        <f>+E78</f>
        <v>8.2334487301222516</v>
      </c>
      <c r="G7" s="41">
        <f>+E70</f>
        <v>0</v>
      </c>
      <c r="H7" s="41">
        <f>+E86</f>
        <v>13.124882123347305</v>
      </c>
      <c r="I7" s="73">
        <f>+E96</f>
        <v>19.260335882518902</v>
      </c>
      <c r="J7" s="41">
        <f>+E86</f>
        <v>13.124882123347305</v>
      </c>
      <c r="K7" s="66"/>
      <c r="L7" s="73">
        <f>SUM(C7:K7)</f>
        <v>113.52073858860869</v>
      </c>
      <c r="M7" s="358"/>
      <c r="O7" s="73">
        <f>+C7+D7+E7</f>
        <v>59.777189729272926</v>
      </c>
      <c r="P7" s="41">
        <f>+$P$6-O7</f>
        <v>130.93861475097665</v>
      </c>
      <c r="Q7" s="73">
        <f>+F7+G7+H7</f>
        <v>21.358330853469557</v>
      </c>
      <c r="R7" s="41">
        <f t="shared" ref="R7:R9" si="0">+D70+D78+D86</f>
        <v>75.221665961112706</v>
      </c>
      <c r="S7" s="73">
        <f>+E96+E104</f>
        <v>31.795232790210015</v>
      </c>
      <c r="T7" s="293">
        <f>+$T$6-S7</f>
        <v>128.11649022898425</v>
      </c>
    </row>
    <row r="8" spans="1:21" x14ac:dyDescent="0.25">
      <c r="A8" s="12"/>
      <c r="B8" s="18" t="s">
        <v>381</v>
      </c>
      <c r="C8" s="73">
        <f>+E53</f>
        <v>42.927219271809818</v>
      </c>
      <c r="D8" s="41">
        <f>+E38</f>
        <v>11.576584155860624</v>
      </c>
      <c r="E8" s="41">
        <f t="shared" ref="E8:E9" si="1">+E62</f>
        <v>19.546050759915762</v>
      </c>
      <c r="F8" s="73">
        <f t="shared" ref="F8:F9" si="2">+E79</f>
        <v>11.988591297581927</v>
      </c>
      <c r="G8" s="41">
        <f t="shared" ref="G8:G9" si="3">+E71</f>
        <v>0</v>
      </c>
      <c r="H8" s="41">
        <f t="shared" ref="H8:H9" si="4">+E87</f>
        <v>16.970389730058145</v>
      </c>
      <c r="I8" s="73">
        <f t="shared" ref="I8:I9" si="5">+E97</f>
        <v>26.926727487667037</v>
      </c>
      <c r="J8" s="41">
        <f t="shared" ref="J8:J9" si="6">+E87</f>
        <v>16.970389730058145</v>
      </c>
      <c r="K8" s="66"/>
      <c r="L8" s="73">
        <f t="shared" ref="L8:L9" si="7">SUM(C8:K8)</f>
        <v>146.90595243295147</v>
      </c>
      <c r="M8" s="359">
        <f>+L8-$L$14</f>
        <v>138.77676912728245</v>
      </c>
      <c r="O8" s="73">
        <f t="shared" ref="O8:O9" si="8">+C8+D8+E8</f>
        <v>74.049854187586206</v>
      </c>
      <c r="P8" s="41">
        <f t="shared" ref="P8:P9" si="9">+$P$6-O8</f>
        <v>116.66595029266337</v>
      </c>
      <c r="Q8" s="73">
        <f t="shared" ref="Q8:Q9" si="10">+F8+G8+H8</f>
        <v>28.958981027640071</v>
      </c>
      <c r="R8" s="41">
        <f t="shared" si="0"/>
        <v>67.621015786942195</v>
      </c>
      <c r="S8" s="73">
        <f t="shared" ref="S8:S9" si="11">+E97+E105</f>
        <v>42.754191456575811</v>
      </c>
      <c r="T8" s="293">
        <f t="shared" ref="T8:T9" si="12">+$T$6-S8</f>
        <v>117.15753156261844</v>
      </c>
    </row>
    <row r="9" spans="1:21" ht="15.75" thickBot="1" x14ac:dyDescent="0.3">
      <c r="A9" s="13"/>
      <c r="B9" s="34" t="s">
        <v>105</v>
      </c>
      <c r="C9" s="81">
        <f>+E56</f>
        <v>56.582330340172177</v>
      </c>
      <c r="D9" s="46">
        <f>+E41</f>
        <v>11.576584155860624</v>
      </c>
      <c r="E9" s="46">
        <f t="shared" si="1"/>
        <v>23.2726313274738</v>
      </c>
      <c r="F9" s="81">
        <f t="shared" si="2"/>
        <v>16.038106038805047</v>
      </c>
      <c r="G9" s="41">
        <f t="shared" si="3"/>
        <v>0</v>
      </c>
      <c r="H9" s="46">
        <f t="shared" si="4"/>
        <v>24.301162272193395</v>
      </c>
      <c r="I9" s="81">
        <f t="shared" si="5"/>
        <v>38.235388155632506</v>
      </c>
      <c r="J9" s="46">
        <f t="shared" si="6"/>
        <v>24.301162272193395</v>
      </c>
      <c r="K9" s="360"/>
      <c r="L9" s="81">
        <f t="shared" si="7"/>
        <v>194.30736456233092</v>
      </c>
      <c r="M9" s="361">
        <f>+L9-$L$14</f>
        <v>186.1781812566619</v>
      </c>
      <c r="O9" s="73">
        <f t="shared" si="8"/>
        <v>91.43154582350661</v>
      </c>
      <c r="P9" s="41">
        <f t="shared" si="9"/>
        <v>99.284258656742963</v>
      </c>
      <c r="Q9" s="73">
        <f t="shared" si="10"/>
        <v>40.339268310998442</v>
      </c>
      <c r="R9" s="41">
        <f t="shared" si="0"/>
        <v>56.240728503583824</v>
      </c>
      <c r="S9" s="73">
        <f t="shared" si="11"/>
        <v>59.768757015173051</v>
      </c>
      <c r="T9" s="293">
        <f t="shared" si="12"/>
        <v>100.1429660040212</v>
      </c>
    </row>
    <row r="10" spans="1:21" ht="13.5" customHeight="1" thickBot="1" x14ac:dyDescent="0.3">
      <c r="A10" s="12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8"/>
    </row>
    <row r="11" spans="1:21" ht="18.75" x14ac:dyDescent="0.3">
      <c r="A11" s="430" t="s">
        <v>209</v>
      </c>
      <c r="B11" s="230"/>
      <c r="C11" s="1084" t="s">
        <v>184</v>
      </c>
      <c r="D11" s="1084"/>
      <c r="E11" s="1084"/>
      <c r="F11" s="1084"/>
      <c r="G11" s="1084"/>
      <c r="H11" s="1084"/>
      <c r="I11" s="1084"/>
      <c r="J11" s="1084"/>
      <c r="K11" s="338"/>
      <c r="L11" s="338"/>
      <c r="M11" s="428"/>
    </row>
    <row r="12" spans="1:21" x14ac:dyDescent="0.25">
      <c r="A12" s="12"/>
      <c r="B12" s="18"/>
      <c r="C12" s="1082" t="s">
        <v>198</v>
      </c>
      <c r="D12" s="1083"/>
      <c r="E12" s="1083"/>
      <c r="F12" s="1082" t="s">
        <v>103</v>
      </c>
      <c r="G12" s="1083"/>
      <c r="H12" s="1083"/>
      <c r="I12" s="1082" t="s">
        <v>203</v>
      </c>
      <c r="J12" s="1083"/>
      <c r="K12" s="341" t="s">
        <v>35</v>
      </c>
      <c r="L12" s="341" t="s">
        <v>34</v>
      </c>
      <c r="M12" s="429" t="s">
        <v>204</v>
      </c>
    </row>
    <row r="13" spans="1:21" x14ac:dyDescent="0.25">
      <c r="A13" s="12"/>
      <c r="B13" s="18"/>
      <c r="C13" s="344" t="s">
        <v>199</v>
      </c>
      <c r="D13" s="345" t="s">
        <v>97</v>
      </c>
      <c r="E13" s="345" t="s">
        <v>200</v>
      </c>
      <c r="F13" s="344" t="s">
        <v>201</v>
      </c>
      <c r="G13" s="345" t="s">
        <v>97</v>
      </c>
      <c r="H13" s="345" t="s">
        <v>200</v>
      </c>
      <c r="I13" s="344" t="s">
        <v>202</v>
      </c>
      <c r="J13" s="345" t="s">
        <v>116</v>
      </c>
      <c r="K13" s="344"/>
      <c r="L13" s="344"/>
      <c r="M13" s="429" t="s">
        <v>205</v>
      </c>
      <c r="N13" s="419" t="s">
        <v>97</v>
      </c>
      <c r="O13" t="s">
        <v>201</v>
      </c>
      <c r="P13" t="s">
        <v>112</v>
      </c>
      <c r="Q13" t="s">
        <v>212</v>
      </c>
      <c r="R13" t="s">
        <v>213</v>
      </c>
    </row>
    <row r="14" spans="1:21" x14ac:dyDescent="0.25">
      <c r="A14" s="12"/>
      <c r="B14" s="18" t="s">
        <v>54</v>
      </c>
      <c r="C14" s="73">
        <f>+H50</f>
        <v>4.2144421758966715</v>
      </c>
      <c r="D14" s="41">
        <v>0</v>
      </c>
      <c r="E14" s="41">
        <f>+H61</f>
        <v>0.8751285799645464</v>
      </c>
      <c r="F14" s="73">
        <f>+H78</f>
        <v>0.62122372666740455</v>
      </c>
      <c r="G14" s="41">
        <f>+H70</f>
        <v>0</v>
      </c>
      <c r="H14" s="41">
        <f>+H86</f>
        <v>0.9069757075372733</v>
      </c>
      <c r="I14" s="73">
        <f>+H96</f>
        <v>0.70687130729512437</v>
      </c>
      <c r="J14" s="41">
        <f>+H104</f>
        <v>0.80454180830799582</v>
      </c>
      <c r="K14" s="66"/>
      <c r="L14" s="431">
        <f>SUM(C14:K14)</f>
        <v>8.1291833056690166</v>
      </c>
      <c r="M14" s="358"/>
      <c r="N14">
        <v>0</v>
      </c>
      <c r="O14" s="293">
        <f>+C14+F14</f>
        <v>4.8356659025640756</v>
      </c>
      <c r="P14" s="293">
        <f>+E14+H14</f>
        <v>1.7821042875018196</v>
      </c>
      <c r="Q14" s="293">
        <f>+I14</f>
        <v>0.70687130729512437</v>
      </c>
      <c r="R14" s="293">
        <f>+J14</f>
        <v>0.80454180830799582</v>
      </c>
      <c r="S14" s="293"/>
    </row>
    <row r="15" spans="1:21" x14ac:dyDescent="0.25">
      <c r="A15" s="12"/>
      <c r="B15" s="18" t="s">
        <v>381</v>
      </c>
      <c r="C15" s="73">
        <f>+H53</f>
        <v>6.2762271777017578</v>
      </c>
      <c r="D15" s="41">
        <f>+H38</f>
        <v>0</v>
      </c>
      <c r="E15" s="41">
        <f t="shared" ref="E15:E16" si="13">+H62</f>
        <v>1.5753554501153919</v>
      </c>
      <c r="F15" s="73">
        <f t="shared" ref="F15:F16" si="14">+H79</f>
        <v>1.1611484322032455</v>
      </c>
      <c r="G15" s="41">
        <f t="shared" ref="G15:G16" si="15">+H71</f>
        <v>0</v>
      </c>
      <c r="H15" s="41">
        <f t="shared" ref="H15:H16" si="16">+H87</f>
        <v>1.4205682428606965</v>
      </c>
      <c r="I15" s="73">
        <f t="shared" ref="I15:I16" si="17">+H97</f>
        <v>1.3066461227046289</v>
      </c>
      <c r="J15" s="41">
        <f t="shared" ref="J15:J16" si="18">+H105</f>
        <v>1.1832245391179466</v>
      </c>
      <c r="K15" s="66"/>
      <c r="L15" s="431">
        <f t="shared" ref="L15:L16" si="19">SUM(C15:K15)</f>
        <v>12.923169964703668</v>
      </c>
      <c r="M15" s="359">
        <f>+L15-$L$14</f>
        <v>4.7939866590346512</v>
      </c>
      <c r="N15" s="293">
        <f>+D15+G15</f>
        <v>0</v>
      </c>
      <c r="O15" s="293">
        <f t="shared" ref="O15:O16" si="20">+C15+F15</f>
        <v>7.4373756099050032</v>
      </c>
      <c r="P15" s="293">
        <f t="shared" ref="P15:P16" si="21">+E15+H15</f>
        <v>2.9959236929760884</v>
      </c>
      <c r="Q15" s="293">
        <f t="shared" ref="Q15:Q16" si="22">+I15</f>
        <v>1.3066461227046289</v>
      </c>
      <c r="R15" s="293">
        <f t="shared" ref="R15:R16" si="23">+J15</f>
        <v>1.1832245391179466</v>
      </c>
      <c r="S15" s="293"/>
    </row>
    <row r="16" spans="1:21" ht="15.75" thickBot="1" x14ac:dyDescent="0.3">
      <c r="A16" s="13"/>
      <c r="B16" s="34" t="s">
        <v>105</v>
      </c>
      <c r="C16" s="81">
        <f>+H56</f>
        <v>10.178647690345471</v>
      </c>
      <c r="D16" s="46">
        <f>+H41</f>
        <v>0</v>
      </c>
      <c r="E16" s="46">
        <f t="shared" si="13"/>
        <v>2.4072224479519155</v>
      </c>
      <c r="F16" s="81">
        <f t="shared" si="14"/>
        <v>2.0334235451399252</v>
      </c>
      <c r="G16" s="46">
        <f t="shared" si="15"/>
        <v>0</v>
      </c>
      <c r="H16" s="46">
        <f t="shared" si="16"/>
        <v>2.9318164329647809</v>
      </c>
      <c r="I16" s="81">
        <f t="shared" si="17"/>
        <v>2.8013406995184917</v>
      </c>
      <c r="J16" s="46">
        <f t="shared" si="18"/>
        <v>2.0967112257206422</v>
      </c>
      <c r="K16" s="360"/>
      <c r="L16" s="432">
        <f t="shared" si="19"/>
        <v>22.449162041641227</v>
      </c>
      <c r="M16" s="361">
        <f>+L16-$L$14</f>
        <v>14.31997873597221</v>
      </c>
      <c r="N16" s="293">
        <f>+D16+G16</f>
        <v>0</v>
      </c>
      <c r="O16" s="293">
        <f t="shared" si="20"/>
        <v>12.212071235485396</v>
      </c>
      <c r="P16" s="293">
        <f t="shared" si="21"/>
        <v>5.3390388809166964</v>
      </c>
      <c r="Q16" s="293">
        <f t="shared" si="22"/>
        <v>2.8013406995184917</v>
      </c>
      <c r="R16" s="293">
        <f t="shared" si="23"/>
        <v>2.0967112257206422</v>
      </c>
      <c r="S16" s="293"/>
    </row>
    <row r="17" spans="1:16" ht="15.75" thickBot="1" x14ac:dyDescent="0.3">
      <c r="A17" s="12"/>
      <c r="B17" s="18"/>
      <c r="C17" s="41"/>
      <c r="D17" s="41"/>
      <c r="E17" s="41"/>
      <c r="F17" s="41"/>
      <c r="G17" s="41"/>
      <c r="H17" s="41"/>
      <c r="I17" s="41"/>
      <c r="J17" s="41"/>
      <c r="K17" s="18"/>
      <c r="L17" s="41"/>
      <c r="M17" s="44"/>
    </row>
    <row r="18" spans="1:16" ht="18.75" x14ac:dyDescent="0.3">
      <c r="A18" s="430" t="s">
        <v>211</v>
      </c>
      <c r="B18" s="230"/>
      <c r="C18" s="1084" t="s">
        <v>184</v>
      </c>
      <c r="D18" s="1084"/>
      <c r="E18" s="1084"/>
      <c r="F18" s="1084"/>
      <c r="G18" s="1084"/>
      <c r="H18" s="1084"/>
      <c r="I18" s="1084"/>
      <c r="J18" s="1084"/>
      <c r="K18" s="338"/>
      <c r="L18" s="338"/>
      <c r="M18" s="428"/>
    </row>
    <row r="19" spans="1:16" x14ac:dyDescent="0.25">
      <c r="A19" s="12"/>
      <c r="B19" s="18"/>
      <c r="C19" s="1082" t="s">
        <v>198</v>
      </c>
      <c r="D19" s="1083"/>
      <c r="E19" s="1083"/>
      <c r="F19" s="1082" t="s">
        <v>103</v>
      </c>
      <c r="G19" s="1083"/>
      <c r="H19" s="1083"/>
      <c r="I19" s="1082" t="s">
        <v>203</v>
      </c>
      <c r="J19" s="1083"/>
      <c r="K19" s="341" t="s">
        <v>35</v>
      </c>
      <c r="L19" s="341" t="s">
        <v>34</v>
      </c>
      <c r="M19" s="429" t="s">
        <v>204</v>
      </c>
      <c r="N19" s="341" t="s">
        <v>34</v>
      </c>
      <c r="O19" s="999" t="s">
        <v>380</v>
      </c>
      <c r="P19" s="999"/>
    </row>
    <row r="20" spans="1:16" x14ac:dyDescent="0.25">
      <c r="A20" s="12"/>
      <c r="B20" s="18"/>
      <c r="C20" s="344" t="s">
        <v>199</v>
      </c>
      <c r="D20" s="345" t="s">
        <v>97</v>
      </c>
      <c r="E20" s="345" t="s">
        <v>200</v>
      </c>
      <c r="F20" s="344" t="s">
        <v>201</v>
      </c>
      <c r="G20" s="345" t="s">
        <v>97</v>
      </c>
      <c r="H20" s="345" t="s">
        <v>200</v>
      </c>
      <c r="I20" s="344" t="s">
        <v>202</v>
      </c>
      <c r="J20" s="345" t="s">
        <v>116</v>
      </c>
      <c r="K20" s="344"/>
      <c r="L20" s="344"/>
      <c r="M20" s="429" t="s">
        <v>205</v>
      </c>
      <c r="N20" s="998" t="s">
        <v>379</v>
      </c>
      <c r="O20" s="998" t="s">
        <v>379</v>
      </c>
    </row>
    <row r="21" spans="1:16" x14ac:dyDescent="0.25">
      <c r="A21" s="12"/>
      <c r="B21" s="18" t="s">
        <v>54</v>
      </c>
      <c r="C21" s="73">
        <f>+C14/C7*1000</f>
        <v>126.40448705783058</v>
      </c>
      <c r="D21" s="73"/>
      <c r="E21" s="73">
        <f t="shared" ref="E21:J21" si="24">+E14/E7*1000</f>
        <v>58.892814962075455</v>
      </c>
      <c r="F21" s="73">
        <f t="shared" si="24"/>
        <v>75.451216984523626</v>
      </c>
      <c r="G21" s="73"/>
      <c r="H21" s="73">
        <f t="shared" si="24"/>
        <v>69.10353167468773</v>
      </c>
      <c r="I21" s="73">
        <f t="shared" si="24"/>
        <v>36.700881625677987</v>
      </c>
      <c r="J21" s="73">
        <f t="shared" si="24"/>
        <v>61.298974021018445</v>
      </c>
      <c r="K21" s="73"/>
      <c r="L21" s="73">
        <f t="shared" ref="L21" si="25">+L14/L7*1000</f>
        <v>71.609675965275514</v>
      </c>
      <c r="M21" s="358"/>
      <c r="N21" s="293">
        <f>+L14/L7*3.6</f>
        <v>0.25779483347499182</v>
      </c>
      <c r="O21" s="293"/>
    </row>
    <row r="22" spans="1:16" x14ac:dyDescent="0.25">
      <c r="A22" s="12"/>
      <c r="B22" s="18" t="s">
        <v>381</v>
      </c>
      <c r="C22" s="73">
        <f t="shared" ref="C22:J23" si="26">+C15/C8*1000</f>
        <v>146.20623660623036</v>
      </c>
      <c r="D22" s="73"/>
      <c r="E22" s="73">
        <f t="shared" si="26"/>
        <v>80.597122634412983</v>
      </c>
      <c r="F22" s="73">
        <f t="shared" si="26"/>
        <v>96.854451318016544</v>
      </c>
      <c r="G22" s="73"/>
      <c r="H22" s="73">
        <f t="shared" si="26"/>
        <v>83.708639899092589</v>
      </c>
      <c r="I22" s="73">
        <f t="shared" si="26"/>
        <v>48.525990516415263</v>
      </c>
      <c r="J22" s="73">
        <f t="shared" si="26"/>
        <v>69.72288544571289</v>
      </c>
      <c r="K22" s="73"/>
      <c r="L22" s="73">
        <f t="shared" ref="L22" si="27">+L15/L8*1000</f>
        <v>87.96900160054345</v>
      </c>
      <c r="M22" s="359">
        <f t="shared" ref="M22" si="28">+M15/M8*1000</f>
        <v>34.544590490053352</v>
      </c>
      <c r="N22" s="293">
        <f t="shared" ref="N22:N23" si="29">+L15/L8*3.6</f>
        <v>0.31668840576195645</v>
      </c>
      <c r="O22" s="293">
        <f>+(L15-L14)/(L8-L7)*3.6</f>
        <v>0.51694597653293828</v>
      </c>
    </row>
    <row r="23" spans="1:16" ht="15.75" thickBot="1" x14ac:dyDescent="0.3">
      <c r="A23" s="13"/>
      <c r="B23" s="34" t="s">
        <v>105</v>
      </c>
      <c r="C23" s="81">
        <f t="shared" si="26"/>
        <v>179.89092405971235</v>
      </c>
      <c r="D23" s="81"/>
      <c r="E23" s="81">
        <f t="shared" si="26"/>
        <v>103.43576598964734</v>
      </c>
      <c r="F23" s="81">
        <f t="shared" si="26"/>
        <v>126.78701214594473</v>
      </c>
      <c r="G23" s="81"/>
      <c r="H23" s="81">
        <f t="shared" si="26"/>
        <v>120.64511154347181</v>
      </c>
      <c r="I23" s="81">
        <f t="shared" si="26"/>
        <v>73.265653486136316</v>
      </c>
      <c r="J23" s="81">
        <f t="shared" si="26"/>
        <v>86.280285783688797</v>
      </c>
      <c r="K23" s="81"/>
      <c r="L23" s="81">
        <f t="shared" ref="L23" si="30">+L16/L9*1000</f>
        <v>115.53428297587696</v>
      </c>
      <c r="M23" s="361">
        <f t="shared" ref="M23" si="31">+M16/M9*1000</f>
        <v>76.915450775786368</v>
      </c>
      <c r="N23" s="293">
        <f t="shared" si="29"/>
        <v>0.41592341871315708</v>
      </c>
      <c r="O23" s="293">
        <f>+(L16-L15)/(L9-L8)*3.6</f>
        <v>0.72347151564541723</v>
      </c>
    </row>
    <row r="25" spans="1:16" ht="15.75" thickBot="1" x14ac:dyDescent="0.3"/>
    <row r="26" spans="1:16" ht="21" x14ac:dyDescent="0.35">
      <c r="A26" s="362" t="s">
        <v>179</v>
      </c>
      <c r="B26" s="25"/>
      <c r="C26" s="25"/>
      <c r="D26" s="25"/>
      <c r="E26" s="25"/>
      <c r="F26" s="25"/>
      <c r="G26" s="25"/>
      <c r="H26" s="26"/>
    </row>
    <row r="27" spans="1:16" s="305" customFormat="1" x14ac:dyDescent="0.25">
      <c r="A27" s="27" t="s">
        <v>206</v>
      </c>
      <c r="B27" s="14"/>
      <c r="C27" s="14"/>
      <c r="D27" s="18"/>
      <c r="E27" s="18"/>
      <c r="F27" s="18"/>
      <c r="G27" s="1026" t="s">
        <v>184</v>
      </c>
      <c r="H27" s="1027"/>
    </row>
    <row r="28" spans="1:16" s="305" customFormat="1" x14ac:dyDescent="0.25">
      <c r="A28" s="27"/>
      <c r="B28" s="14"/>
      <c r="C28" s="14"/>
      <c r="D28" s="420" t="s">
        <v>180</v>
      </c>
      <c r="E28" s="1026" t="s">
        <v>181</v>
      </c>
      <c r="F28" s="1026"/>
      <c r="G28" s="420" t="s">
        <v>187</v>
      </c>
      <c r="H28" s="421" t="s">
        <v>185</v>
      </c>
    </row>
    <row r="29" spans="1:16" s="305" customFormat="1" x14ac:dyDescent="0.25">
      <c r="A29" s="27"/>
      <c r="B29" s="14"/>
      <c r="C29" s="14"/>
      <c r="D29" s="354" t="s">
        <v>1</v>
      </c>
      <c r="E29" s="354" t="s">
        <v>1</v>
      </c>
      <c r="F29" s="354" t="s">
        <v>182</v>
      </c>
      <c r="G29" s="354" t="s">
        <v>183</v>
      </c>
      <c r="H29" s="135" t="s">
        <v>186</v>
      </c>
    </row>
    <row r="30" spans="1:16" s="305" customFormat="1" x14ac:dyDescent="0.25">
      <c r="A30" s="27"/>
      <c r="B30" s="185" t="s">
        <v>136</v>
      </c>
      <c r="C30" s="187" t="s">
        <v>59</v>
      </c>
      <c r="D30" s="368">
        <f>+Husholdninger!M40</f>
        <v>13.250177647567572</v>
      </c>
      <c r="E30" s="369"/>
      <c r="F30" s="369"/>
      <c r="G30" s="369"/>
      <c r="H30" s="370"/>
    </row>
    <row r="31" spans="1:16" s="305" customFormat="1" x14ac:dyDescent="0.25">
      <c r="A31" s="27"/>
      <c r="B31" s="191"/>
      <c r="C31" s="187" t="s">
        <v>60</v>
      </c>
      <c r="D31" s="368">
        <f>+Husholdninger!M44</f>
        <v>6.9630625909909885</v>
      </c>
      <c r="E31" s="369"/>
      <c r="F31" s="369"/>
      <c r="G31" s="369"/>
      <c r="H31" s="370"/>
      <c r="K31" t="s">
        <v>208</v>
      </c>
    </row>
    <row r="32" spans="1:16" s="305" customFormat="1" x14ac:dyDescent="0.25">
      <c r="A32" s="27"/>
      <c r="B32" s="192"/>
      <c r="C32" s="193" t="s">
        <v>34</v>
      </c>
      <c r="D32" s="372">
        <f>+D30+D31</f>
        <v>20.213240238558562</v>
      </c>
      <c r="E32" s="373"/>
      <c r="F32" s="373"/>
      <c r="G32" s="373"/>
      <c r="H32" s="374"/>
    </row>
    <row r="33" spans="1:13" s="305" customFormat="1" x14ac:dyDescent="0.25">
      <c r="A33" s="27"/>
      <c r="B33" s="185" t="s">
        <v>54</v>
      </c>
      <c r="C33" s="187" t="s">
        <v>59</v>
      </c>
      <c r="D33" s="368">
        <f>+Husholdninger!M41</f>
        <v>5.7673095924958133</v>
      </c>
      <c r="E33" s="368">
        <f>+$D$30-D33</f>
        <v>7.4828680550717586</v>
      </c>
      <c r="F33" s="16">
        <f>+E33/$D$30</f>
        <v>0.56473718723653799</v>
      </c>
      <c r="G33" s="14"/>
      <c r="H33" s="44">
        <f>+E33*G33/3.6</f>
        <v>0</v>
      </c>
    </row>
    <row r="34" spans="1:13" s="305" customFormat="1" x14ac:dyDescent="0.25">
      <c r="A34" s="27"/>
      <c r="B34" s="191"/>
      <c r="C34" s="187" t="s">
        <v>60</v>
      </c>
      <c r="D34" s="368">
        <f>+Husholdninger!M45</f>
        <v>2.8693464902021244</v>
      </c>
      <c r="E34" s="368">
        <f>+$D$31-D34</f>
        <v>4.0937161007888641</v>
      </c>
      <c r="F34" s="16">
        <f>+E34/$D$31</f>
        <v>0.58791890023873006</v>
      </c>
      <c r="G34" s="14"/>
      <c r="H34" s="44">
        <f t="shared" ref="H34:H35" si="32">+E34*G34/3.6</f>
        <v>0</v>
      </c>
    </row>
    <row r="35" spans="1:13" s="305" customFormat="1" x14ac:dyDescent="0.25">
      <c r="A35" s="27"/>
      <c r="B35" s="192"/>
      <c r="C35" s="193" t="s">
        <v>34</v>
      </c>
      <c r="D35" s="372">
        <f>+D33+D34</f>
        <v>8.6366560826979377</v>
      </c>
      <c r="E35" s="372">
        <f>+$D$32-D35</f>
        <v>11.576584155860624</v>
      </c>
      <c r="F35" s="108">
        <f>+E35/$D$32</f>
        <v>0.57272283014661129</v>
      </c>
      <c r="G35" s="19"/>
      <c r="H35" s="45">
        <f t="shared" si="32"/>
        <v>0</v>
      </c>
    </row>
    <row r="36" spans="1:13" s="305" customFormat="1" x14ac:dyDescent="0.25">
      <c r="A36" s="27"/>
      <c r="B36" s="185" t="s">
        <v>381</v>
      </c>
      <c r="C36" s="187" t="s">
        <v>59</v>
      </c>
      <c r="D36" s="368">
        <f>+Husholdninger!M42</f>
        <v>5.7673095924958133</v>
      </c>
      <c r="E36" s="368">
        <f>+$D$30-D36</f>
        <v>7.4828680550717586</v>
      </c>
      <c r="F36" s="16">
        <f>+E36/$D$30</f>
        <v>0.56473718723653799</v>
      </c>
      <c r="G36" s="422"/>
      <c r="H36" s="44">
        <f>+(E36-$E$33)*G36/3.6</f>
        <v>0</v>
      </c>
    </row>
    <row r="37" spans="1:13" s="305" customFormat="1" x14ac:dyDescent="0.25">
      <c r="A37" s="27"/>
      <c r="B37" s="191"/>
      <c r="C37" s="187" t="s">
        <v>60</v>
      </c>
      <c r="D37" s="368">
        <f>+Husholdninger!M46</f>
        <v>2.8693464902021244</v>
      </c>
      <c r="E37" s="368">
        <f>+$D$31-D37</f>
        <v>4.0937161007888641</v>
      </c>
      <c r="F37" s="16">
        <f>+E37/$D$31</f>
        <v>0.58791890023873006</v>
      </c>
      <c r="G37" s="422"/>
      <c r="H37" s="44">
        <f>+(E37-$E$34)*G37/3.6</f>
        <v>0</v>
      </c>
    </row>
    <row r="38" spans="1:13" s="305" customFormat="1" x14ac:dyDescent="0.25">
      <c r="A38" s="27"/>
      <c r="B38" s="353"/>
      <c r="C38" s="193" t="s">
        <v>34</v>
      </c>
      <c r="D38" s="372">
        <f>+D36+D37</f>
        <v>8.6366560826979377</v>
      </c>
      <c r="E38" s="372">
        <f>+$D$32-D38</f>
        <v>11.576584155860624</v>
      </c>
      <c r="F38" s="108">
        <f>+E38/$D$32</f>
        <v>0.57272283014661129</v>
      </c>
      <c r="G38" s="423"/>
      <c r="H38" s="44">
        <f>+H36+H37</f>
        <v>0</v>
      </c>
    </row>
    <row r="39" spans="1:13" s="305" customFormat="1" ht="15.75" thickBot="1" x14ac:dyDescent="0.3">
      <c r="A39" s="27"/>
      <c r="B39" s="185" t="s">
        <v>105</v>
      </c>
      <c r="C39" s="187" t="s">
        <v>59</v>
      </c>
      <c r="D39" s="368">
        <f>+Husholdninger!M43</f>
        <v>5.7673095924958133</v>
      </c>
      <c r="E39" s="368">
        <f>+$D$30-D39</f>
        <v>7.4828680550717586</v>
      </c>
      <c r="F39" s="16">
        <f>+E39/$D$30</f>
        <v>0.56473718723653799</v>
      </c>
      <c r="G39" s="422"/>
      <c r="H39" s="44">
        <f>+(E39-$E$33)*G39/3.6</f>
        <v>0</v>
      </c>
    </row>
    <row r="40" spans="1:13" s="305" customFormat="1" x14ac:dyDescent="0.25">
      <c r="A40" s="27"/>
      <c r="B40" s="197"/>
      <c r="C40" s="187" t="s">
        <v>60</v>
      </c>
      <c r="D40" s="368">
        <f>+Husholdninger!M47</f>
        <v>2.8693464902021244</v>
      </c>
      <c r="E40" s="368">
        <f>+$D$31-D40</f>
        <v>4.0937161007888641</v>
      </c>
      <c r="F40" s="16">
        <f>+E40/$D$31</f>
        <v>0.58791890023873006</v>
      </c>
      <c r="G40" s="422"/>
      <c r="H40" s="44">
        <f>+(E40-$E$34)*G40/3.6</f>
        <v>0</v>
      </c>
      <c r="K40" s="60" t="s">
        <v>227</v>
      </c>
      <c r="L40" s="426"/>
      <c r="M40" s="427"/>
    </row>
    <row r="41" spans="1:13" s="305" customFormat="1" ht="15.75" thickBot="1" x14ac:dyDescent="0.3">
      <c r="A41" s="27"/>
      <c r="B41" s="198"/>
      <c r="C41" s="193" t="s">
        <v>34</v>
      </c>
      <c r="D41" s="372">
        <f>+D39+D40</f>
        <v>8.6366560826979377</v>
      </c>
      <c r="E41" s="372">
        <f>+$D$32-D41</f>
        <v>11.576584155860624</v>
      </c>
      <c r="F41" s="108">
        <f>+E41/$D$32</f>
        <v>0.57272283014661129</v>
      </c>
      <c r="G41" s="19"/>
      <c r="H41" s="44">
        <f>+H39+H40</f>
        <v>0</v>
      </c>
      <c r="K41" s="29"/>
      <c r="L41" s="5" t="s">
        <v>222</v>
      </c>
      <c r="M41" s="32" t="s">
        <v>223</v>
      </c>
    </row>
    <row r="42" spans="1:13" x14ac:dyDescent="0.25">
      <c r="A42" s="12"/>
      <c r="B42" s="18"/>
      <c r="C42" s="18"/>
      <c r="D42" s="18"/>
      <c r="E42" s="18"/>
      <c r="F42" s="18"/>
      <c r="G42" s="1026" t="s">
        <v>184</v>
      </c>
      <c r="H42" s="1027"/>
      <c r="K42" s="12" t="s">
        <v>59</v>
      </c>
      <c r="L42" s="18">
        <f>+'[4]2013'!T30</f>
        <v>0.27960000000000002</v>
      </c>
      <c r="M42" s="28">
        <f>+'[4]2013'!U30</f>
        <v>1.96</v>
      </c>
    </row>
    <row r="43" spans="1:13" x14ac:dyDescent="0.25">
      <c r="A43" s="27" t="s">
        <v>188</v>
      </c>
      <c r="B43" s="18"/>
      <c r="C43" s="17"/>
      <c r="D43" s="420" t="s">
        <v>180</v>
      </c>
      <c r="E43" s="1026" t="s">
        <v>181</v>
      </c>
      <c r="F43" s="1026"/>
      <c r="G43" s="420" t="s">
        <v>187</v>
      </c>
      <c r="H43" s="421" t="s">
        <v>185</v>
      </c>
      <c r="K43" s="12" t="s">
        <v>60</v>
      </c>
      <c r="L43" s="18">
        <f>+'[4]2013'!T31</f>
        <v>0.26090000000000002</v>
      </c>
      <c r="M43" s="28">
        <f>+'[4]2013'!U31</f>
        <v>1.83</v>
      </c>
    </row>
    <row r="44" spans="1:13" ht="15.75" thickBot="1" x14ac:dyDescent="0.3">
      <c r="A44" s="27"/>
      <c r="B44" s="18"/>
      <c r="C44" s="18"/>
      <c r="D44" s="354" t="s">
        <v>1</v>
      </c>
      <c r="E44" s="354" t="s">
        <v>1</v>
      </c>
      <c r="F44" s="354" t="s">
        <v>182</v>
      </c>
      <c r="G44" s="354" t="s">
        <v>183</v>
      </c>
      <c r="H44" s="135" t="s">
        <v>186</v>
      </c>
      <c r="K44" s="13" t="s">
        <v>221</v>
      </c>
      <c r="L44" s="34">
        <f>+'[4]2013'!T32</f>
        <v>0.15709999999999999</v>
      </c>
      <c r="M44" s="35">
        <f>+'[4]2013'!U32</f>
        <v>2.5499999999999998</v>
      </c>
    </row>
    <row r="45" spans="1:13" ht="15.75" thickBot="1" x14ac:dyDescent="0.3">
      <c r="A45" s="12"/>
      <c r="B45" s="185" t="s">
        <v>136</v>
      </c>
      <c r="C45" s="187" t="s">
        <v>59</v>
      </c>
      <c r="D45" s="189">
        <f>+Husholdninger!N40</f>
        <v>91.276609923663003</v>
      </c>
      <c r="E45" s="127"/>
      <c r="F45" s="127"/>
      <c r="G45" s="127"/>
      <c r="H45" s="363"/>
    </row>
    <row r="46" spans="1:13" x14ac:dyDescent="0.25">
      <c r="A46" s="12"/>
      <c r="B46" s="191"/>
      <c r="C46" s="187" t="s">
        <v>60</v>
      </c>
      <c r="D46" s="189">
        <f>+Husholdninger!N44</f>
        <v>35.610142291309877</v>
      </c>
      <c r="E46" s="127"/>
      <c r="F46" s="127"/>
      <c r="G46" s="127"/>
      <c r="H46" s="363"/>
      <c r="K46" s="60" t="s">
        <v>225</v>
      </c>
      <c r="L46" s="25"/>
      <c r="M46" s="26"/>
    </row>
    <row r="47" spans="1:13" x14ac:dyDescent="0.25">
      <c r="A47" s="12"/>
      <c r="B47" s="192"/>
      <c r="C47" s="193" t="s">
        <v>34</v>
      </c>
      <c r="D47" s="195">
        <f>+D45+D46</f>
        <v>126.88675221497289</v>
      </c>
      <c r="E47" s="352"/>
      <c r="F47" s="352"/>
      <c r="G47" s="127"/>
      <c r="H47" s="363"/>
      <c r="I47" s="5"/>
      <c r="K47" s="113"/>
      <c r="L47" s="5" t="s">
        <v>222</v>
      </c>
      <c r="M47" s="32" t="s">
        <v>224</v>
      </c>
    </row>
    <row r="48" spans="1:13" x14ac:dyDescent="0.25">
      <c r="A48" s="12"/>
      <c r="B48" s="185" t="s">
        <v>54</v>
      </c>
      <c r="C48" s="187" t="s">
        <v>59</v>
      </c>
      <c r="D48" s="189">
        <f>+Husholdninger!N41</f>
        <v>67.292653346646929</v>
      </c>
      <c r="E48" s="43">
        <f>+$D$45-D48</f>
        <v>23.983956577016073</v>
      </c>
      <c r="F48" s="16">
        <f>+E48/$D$45</f>
        <v>0.26276125501455938</v>
      </c>
      <c r="G48" s="364">
        <f>$L$42*EXP($M$42*F48)</f>
        <v>0.46795496852524304</v>
      </c>
      <c r="H48" s="44">
        <f>+E48*G48/3.6</f>
        <v>3.1176143458634313</v>
      </c>
      <c r="K48" s="12" t="s">
        <v>116</v>
      </c>
      <c r="L48" s="18">
        <v>0.1293</v>
      </c>
      <c r="M48" s="28">
        <v>2.5499999999999998</v>
      </c>
    </row>
    <row r="49" spans="1:13" ht="15.75" thickBot="1" x14ac:dyDescent="0.3">
      <c r="A49" s="12"/>
      <c r="B49" s="191"/>
      <c r="C49" s="187" t="s">
        <v>60</v>
      </c>
      <c r="D49" s="189">
        <f>+Husholdninger!N45</f>
        <v>26.25317661159826</v>
      </c>
      <c r="E49" s="43">
        <f>+$D$46-D49</f>
        <v>9.3569656797116174</v>
      </c>
      <c r="F49" s="16">
        <f>+E49/$D$46</f>
        <v>0.26276125501455927</v>
      </c>
      <c r="G49" s="364">
        <f>+$L$43*EXP($M$43*F49)</f>
        <v>0.42199365940619321</v>
      </c>
      <c r="H49" s="44">
        <f>+E49*G49/3.6</f>
        <v>1.0968278300332399</v>
      </c>
      <c r="K49" s="13" t="s">
        <v>220</v>
      </c>
      <c r="L49" s="34">
        <v>6.5500000000000003E-2</v>
      </c>
      <c r="M49" s="35">
        <v>3.82</v>
      </c>
    </row>
    <row r="50" spans="1:13" x14ac:dyDescent="0.25">
      <c r="A50" s="12"/>
      <c r="B50" s="192"/>
      <c r="C50" s="193" t="s">
        <v>34</v>
      </c>
      <c r="D50" s="195">
        <f>+D48+D49</f>
        <v>93.545829958245193</v>
      </c>
      <c r="E50" s="323">
        <f>+$D$47-D50</f>
        <v>33.340922256727694</v>
      </c>
      <c r="F50" s="108">
        <f>+E50/$D$47</f>
        <v>0.26276125501455933</v>
      </c>
      <c r="G50" s="355"/>
      <c r="H50" s="45">
        <f>SUM(H48:H49)</f>
        <v>4.2144421758966715</v>
      </c>
      <c r="I50" s="5"/>
    </row>
    <row r="51" spans="1:13" ht="15.75" thickBot="1" x14ac:dyDescent="0.3">
      <c r="A51" s="12"/>
      <c r="B51" s="185" t="s">
        <v>381</v>
      </c>
      <c r="C51" s="187" t="s">
        <v>59</v>
      </c>
      <c r="D51" s="189">
        <f>+Husholdninger!N42</f>
        <v>60.396703391401928</v>
      </c>
      <c r="E51" s="43">
        <f>+$D$45-D51</f>
        <v>30.879906532261074</v>
      </c>
      <c r="F51" s="16">
        <f>+E51/$D$45</f>
        <v>0.33831127775326825</v>
      </c>
      <c r="G51" s="364">
        <f>$L$42*EXP($M$42*F51)</f>
        <v>0.54264216954321709</v>
      </c>
      <c r="H51" s="44">
        <f>+E51*G51/3.6</f>
        <v>4.654649854432753</v>
      </c>
    </row>
    <row r="52" spans="1:13" x14ac:dyDescent="0.25">
      <c r="A52" s="12"/>
      <c r="B52" s="191"/>
      <c r="C52" s="187" t="s">
        <v>60</v>
      </c>
      <c r="D52" s="189">
        <f>+Husholdninger!N46</f>
        <v>23.562829551761141</v>
      </c>
      <c r="E52" s="43">
        <f>+$D$46-D52</f>
        <v>12.047312739548737</v>
      </c>
      <c r="F52" s="16">
        <f>+E52/$D$46</f>
        <v>0.33831127775326814</v>
      </c>
      <c r="G52" s="364">
        <f>+$L$43*EXP($M$43*F52)</f>
        <v>0.48456269792055578</v>
      </c>
      <c r="H52" s="44">
        <f>+E52*G52/3.6</f>
        <v>1.6215773232690047</v>
      </c>
      <c r="K52" s="60" t="s">
        <v>226</v>
      </c>
      <c r="L52" s="25"/>
      <c r="M52" s="26"/>
    </row>
    <row r="53" spans="1:13" x14ac:dyDescent="0.25">
      <c r="A53" s="12"/>
      <c r="B53" s="353"/>
      <c r="C53" s="193" t="s">
        <v>34</v>
      </c>
      <c r="D53" s="195">
        <f>+D51+D52</f>
        <v>83.959532943163069</v>
      </c>
      <c r="E53" s="323">
        <f>+$D$47-D53</f>
        <v>42.927219271809818</v>
      </c>
      <c r="F53" s="108">
        <f>+E53/$D$47</f>
        <v>0.33831127775326825</v>
      </c>
      <c r="G53" s="355"/>
      <c r="H53" s="45">
        <f>SUM(H51:H52)</f>
        <v>6.2762271777017578</v>
      </c>
      <c r="I53" s="5"/>
      <c r="K53" s="12"/>
      <c r="L53" s="5" t="s">
        <v>222</v>
      </c>
      <c r="M53" s="32" t="s">
        <v>224</v>
      </c>
    </row>
    <row r="54" spans="1:13" ht="15.75" thickBot="1" x14ac:dyDescent="0.3">
      <c r="A54" s="12"/>
      <c r="B54" s="185" t="s">
        <v>105</v>
      </c>
      <c r="C54" s="187" t="s">
        <v>59</v>
      </c>
      <c r="D54" s="189">
        <f>+Husholdninger!N43</f>
        <v>50.573832014415672</v>
      </c>
      <c r="E54" s="43">
        <f>+$D$45-D54</f>
        <v>40.702777909247331</v>
      </c>
      <c r="F54" s="16">
        <f>+E54/$D$45</f>
        <v>0.44592780059741616</v>
      </c>
      <c r="G54" s="364">
        <f>$L$42*EXP($M$42*F54)</f>
        <v>0.67006753079059855</v>
      </c>
      <c r="H54" s="44">
        <f>+E54*G54/3.6</f>
        <v>7.576002747213189</v>
      </c>
      <c r="K54" s="13" t="s">
        <v>116</v>
      </c>
      <c r="L54" s="34">
        <v>7.8399999999999997E-2</v>
      </c>
      <c r="M54" s="35">
        <v>2.92</v>
      </c>
    </row>
    <row r="55" spans="1:13" x14ac:dyDescent="0.25">
      <c r="A55" s="12"/>
      <c r="B55" s="197"/>
      <c r="C55" s="187" t="s">
        <v>60</v>
      </c>
      <c r="D55" s="189">
        <f>+Husholdninger!N47</f>
        <v>19.730589860385031</v>
      </c>
      <c r="E55" s="43">
        <f>+$D$46-D55</f>
        <v>15.879552430924846</v>
      </c>
      <c r="F55" s="16">
        <f>+E55/$D$46</f>
        <v>0.44592780059741616</v>
      </c>
      <c r="G55" s="364">
        <f>+$L$43*EXP($M$43*F55)</f>
        <v>0.59003689405183846</v>
      </c>
      <c r="H55" s="44">
        <f>+E55*G55/3.6</f>
        <v>2.6026449431322827</v>
      </c>
    </row>
    <row r="56" spans="1:13" ht="15.75" thickBot="1" x14ac:dyDescent="0.3">
      <c r="A56" s="12"/>
      <c r="B56" s="198"/>
      <c r="C56" s="200" t="s">
        <v>34</v>
      </c>
      <c r="D56" s="189">
        <f>+D54+D55</f>
        <v>70.30442187480071</v>
      </c>
      <c r="E56" s="43">
        <f>+$D$47-D56</f>
        <v>56.582330340172177</v>
      </c>
      <c r="F56" s="16">
        <f>+E56/$D$47</f>
        <v>0.4459278005974161</v>
      </c>
      <c r="G56" s="18"/>
      <c r="H56" s="44">
        <f>SUM(H54:H55)</f>
        <v>10.178647690345471</v>
      </c>
    </row>
    <row r="57" spans="1:13" x14ac:dyDescent="0.25">
      <c r="A57" s="27" t="s">
        <v>189</v>
      </c>
      <c r="B57" s="18"/>
      <c r="C57" s="18"/>
      <c r="D57" s="18"/>
      <c r="E57" s="18"/>
      <c r="F57" s="18"/>
      <c r="G57" s="1026" t="s">
        <v>184</v>
      </c>
      <c r="H57" s="1027"/>
      <c r="J57" s="18"/>
      <c r="K57" s="18"/>
      <c r="L57" s="18"/>
    </row>
    <row r="58" spans="1:13" x14ac:dyDescent="0.25">
      <c r="A58" s="12"/>
      <c r="B58" s="18"/>
      <c r="C58" s="18"/>
      <c r="D58" s="17" t="s">
        <v>190</v>
      </c>
      <c r="E58" s="365" t="s">
        <v>181</v>
      </c>
      <c r="F58" s="365"/>
      <c r="G58" s="420" t="s">
        <v>187</v>
      </c>
      <c r="H58" s="421" t="s">
        <v>185</v>
      </c>
      <c r="J58" s="18"/>
      <c r="K58" s="18"/>
      <c r="L58" s="18"/>
    </row>
    <row r="59" spans="1:13" x14ac:dyDescent="0.25">
      <c r="A59" s="12"/>
      <c r="B59" s="18"/>
      <c r="C59" s="18"/>
      <c r="D59" s="11" t="s">
        <v>1</v>
      </c>
      <c r="E59" s="11" t="s">
        <v>1</v>
      </c>
      <c r="F59" s="11" t="s">
        <v>191</v>
      </c>
      <c r="G59" s="354" t="s">
        <v>183</v>
      </c>
      <c r="H59" s="135" t="s">
        <v>186</v>
      </c>
      <c r="J59" s="18"/>
      <c r="K59" s="18"/>
      <c r="L59" s="18"/>
    </row>
    <row r="60" spans="1:13" x14ac:dyDescent="0.25">
      <c r="A60" s="12"/>
      <c r="B60" s="18" t="s">
        <v>136</v>
      </c>
      <c r="C60" s="18"/>
      <c r="D60" s="41">
        <f>+Husholdninger!S65</f>
        <v>43.61581202671811</v>
      </c>
      <c r="E60" s="127"/>
      <c r="F60" s="127"/>
      <c r="G60" s="127"/>
      <c r="H60" s="363"/>
    </row>
    <row r="61" spans="1:13" x14ac:dyDescent="0.25">
      <c r="A61" s="12"/>
      <c r="B61" s="18" t="s">
        <v>54</v>
      </c>
      <c r="C61" s="18"/>
      <c r="D61" s="41">
        <f>+Husholdninger!T65</f>
        <v>28.756128710033501</v>
      </c>
      <c r="E61" s="41">
        <f>+$D$60-D61</f>
        <v>14.85968331668461</v>
      </c>
      <c r="F61" s="16">
        <f>+E61/$D$60</f>
        <v>0.34069486789749293</v>
      </c>
      <c r="G61" s="371">
        <f>+$L$54*EXP($M$54*F61)</f>
        <v>0.21201413386347165</v>
      </c>
      <c r="H61" s="44">
        <f>+E61*G61/3.6</f>
        <v>0.8751285799645464</v>
      </c>
    </row>
    <row r="62" spans="1:13" x14ac:dyDescent="0.25">
      <c r="A62" s="12"/>
      <c r="B62" s="18" t="s">
        <v>381</v>
      </c>
      <c r="C62" s="18"/>
      <c r="D62" s="41">
        <f>+Husholdninger!U65</f>
        <v>24.069761266802349</v>
      </c>
      <c r="E62" s="41">
        <f>+$D$60-D62</f>
        <v>19.546050759915762</v>
      </c>
      <c r="F62" s="16">
        <f>+E62/$D$60</f>
        <v>0.44814139303292738</v>
      </c>
      <c r="G62" s="371">
        <f t="shared" ref="G62:G63" si="33">+$L$54*EXP($M$54*F62)</f>
        <v>0.29014964148388678</v>
      </c>
      <c r="H62" s="44">
        <f t="shared" ref="H62:H63" si="34">+E62*G62/3.6</f>
        <v>1.5753554501153919</v>
      </c>
    </row>
    <row r="63" spans="1:13" ht="15.75" thickBot="1" x14ac:dyDescent="0.3">
      <c r="A63" s="13"/>
      <c r="B63" s="34" t="s">
        <v>105</v>
      </c>
      <c r="C63" s="34"/>
      <c r="D63" s="46">
        <f>+Husholdninger!V65</f>
        <v>20.343180699244311</v>
      </c>
      <c r="E63" s="46">
        <f>+$D$60-D63</f>
        <v>23.2726313274738</v>
      </c>
      <c r="F63" s="61">
        <f>+E63/$D$60</f>
        <v>0.53358243825008889</v>
      </c>
      <c r="G63" s="380">
        <f t="shared" si="33"/>
        <v>0.37236875756273041</v>
      </c>
      <c r="H63" s="47">
        <f t="shared" si="34"/>
        <v>2.4072224479519155</v>
      </c>
    </row>
    <row r="64" spans="1:13" ht="15.75" thickBot="1" x14ac:dyDescent="0.3"/>
    <row r="65" spans="1:12" ht="18.75" x14ac:dyDescent="0.3">
      <c r="A65" s="218" t="s">
        <v>192</v>
      </c>
      <c r="B65" s="25"/>
      <c r="C65" s="25"/>
      <c r="D65" s="25"/>
      <c r="E65" s="25"/>
      <c r="F65" s="25"/>
      <c r="G65" s="25"/>
      <c r="H65" s="26"/>
    </row>
    <row r="66" spans="1:12" x14ac:dyDescent="0.25">
      <c r="A66" s="27" t="s">
        <v>206</v>
      </c>
      <c r="B66" s="14"/>
      <c r="C66" s="14"/>
      <c r="D66" s="18"/>
      <c r="E66" s="18"/>
      <c r="F66" s="18"/>
      <c r="G66" s="1026" t="s">
        <v>184</v>
      </c>
      <c r="H66" s="1027"/>
    </row>
    <row r="67" spans="1:12" x14ac:dyDescent="0.25">
      <c r="A67" s="27"/>
      <c r="B67" s="14"/>
      <c r="C67" s="14"/>
      <c r="D67" s="420" t="s">
        <v>180</v>
      </c>
      <c r="E67" s="1026" t="s">
        <v>181</v>
      </c>
      <c r="F67" s="1026"/>
      <c r="G67" s="420" t="s">
        <v>187</v>
      </c>
      <c r="H67" s="421" t="s">
        <v>185</v>
      </c>
    </row>
    <row r="68" spans="1:12" x14ac:dyDescent="0.25">
      <c r="A68" s="27"/>
      <c r="B68" s="14"/>
      <c r="C68" s="14"/>
      <c r="D68" s="354" t="s">
        <v>1</v>
      </c>
      <c r="E68" s="354" t="s">
        <v>1</v>
      </c>
      <c r="F68" s="354" t="s">
        <v>182</v>
      </c>
      <c r="G68" s="354" t="s">
        <v>183</v>
      </c>
      <c r="H68" s="135" t="s">
        <v>186</v>
      </c>
    </row>
    <row r="69" spans="1:12" x14ac:dyDescent="0.25">
      <c r="A69" s="27"/>
      <c r="B69" s="18" t="s">
        <v>136</v>
      </c>
      <c r="C69" s="14"/>
      <c r="D69" s="368">
        <f>+'H&amp;S'!N28</f>
        <v>7.0916870383725286</v>
      </c>
      <c r="E69" s="369"/>
      <c r="F69" s="369"/>
      <c r="G69" s="369"/>
      <c r="H69" s="370"/>
    </row>
    <row r="70" spans="1:12" x14ac:dyDescent="0.25">
      <c r="A70" s="27"/>
      <c r="B70" s="18" t="s">
        <v>54</v>
      </c>
      <c r="C70" s="14"/>
      <c r="D70" s="368">
        <f>+'H&amp;S'!N29</f>
        <v>7.0916870383725286</v>
      </c>
      <c r="E70" s="368">
        <f>+$D$69-D70</f>
        <v>0</v>
      </c>
      <c r="F70" s="16">
        <f>+E70/$D$69</f>
        <v>0</v>
      </c>
      <c r="G70" s="14"/>
      <c r="H70" s="44">
        <f>+E70*G70/3.6</f>
        <v>0</v>
      </c>
    </row>
    <row r="71" spans="1:12" x14ac:dyDescent="0.25">
      <c r="A71" s="27"/>
      <c r="B71" s="18" t="s">
        <v>381</v>
      </c>
      <c r="C71" s="14"/>
      <c r="D71" s="368">
        <f>+'H&amp;S'!N30</f>
        <v>7.0916870383725286</v>
      </c>
      <c r="E71" s="368">
        <f t="shared" ref="E71:E72" si="35">+$D$69-D71</f>
        <v>0</v>
      </c>
      <c r="F71" s="16">
        <f t="shared" ref="F71:F72" si="36">+E71/$D$69</f>
        <v>0</v>
      </c>
      <c r="G71" s="424"/>
      <c r="H71" s="44">
        <f>+(E71-$E$70)*G71/3.6</f>
        <v>0</v>
      </c>
    </row>
    <row r="72" spans="1:12" x14ac:dyDescent="0.25">
      <c r="A72" s="27"/>
      <c r="B72" s="18" t="s">
        <v>105</v>
      </c>
      <c r="C72" s="14"/>
      <c r="D72" s="368">
        <f>+'H&amp;S'!N31</f>
        <v>7.0916870383725286</v>
      </c>
      <c r="E72" s="368">
        <f t="shared" si="35"/>
        <v>0</v>
      </c>
      <c r="F72" s="16">
        <f t="shared" si="36"/>
        <v>0</v>
      </c>
      <c r="G72" s="424"/>
      <c r="H72" s="44">
        <f>+(E72-$E$70)*G72/3.6</f>
        <v>0</v>
      </c>
    </row>
    <row r="73" spans="1:12" x14ac:dyDescent="0.25">
      <c r="A73" s="31"/>
      <c r="B73" s="14"/>
      <c r="C73" s="14"/>
      <c r="D73" s="14"/>
      <c r="E73" s="14"/>
      <c r="F73" s="14"/>
      <c r="G73" s="14"/>
      <c r="H73" s="367"/>
    </row>
    <row r="74" spans="1:12" x14ac:dyDescent="0.25">
      <c r="A74" s="27" t="s">
        <v>193</v>
      </c>
      <c r="B74" s="18"/>
      <c r="C74" s="18"/>
      <c r="D74" s="18"/>
      <c r="E74" s="18"/>
      <c r="F74" s="18"/>
      <c r="G74" s="1026" t="s">
        <v>184</v>
      </c>
      <c r="H74" s="1027"/>
    </row>
    <row r="75" spans="1:12" x14ac:dyDescent="0.25">
      <c r="A75" s="12"/>
      <c r="B75" s="18"/>
      <c r="C75" s="18"/>
      <c r="D75" s="420" t="s">
        <v>180</v>
      </c>
      <c r="E75" s="1026" t="s">
        <v>181</v>
      </c>
      <c r="F75" s="1026"/>
      <c r="G75" s="420" t="s">
        <v>187</v>
      </c>
      <c r="H75" s="421" t="s">
        <v>185</v>
      </c>
    </row>
    <row r="76" spans="1:12" x14ac:dyDescent="0.25">
      <c r="A76" s="12"/>
      <c r="B76" s="18"/>
      <c r="C76" s="18"/>
      <c r="D76" s="354" t="s">
        <v>1</v>
      </c>
      <c r="E76" s="354" t="s">
        <v>1</v>
      </c>
      <c r="F76" s="354" t="s">
        <v>182</v>
      </c>
      <c r="G76" s="354" t="s">
        <v>183</v>
      </c>
      <c r="H76" s="135" t="s">
        <v>186</v>
      </c>
    </row>
    <row r="77" spans="1:12" x14ac:dyDescent="0.25">
      <c r="A77" s="12"/>
      <c r="B77" s="18" t="s">
        <v>136</v>
      </c>
      <c r="C77" s="18"/>
      <c r="D77" s="41">
        <f>+'H&amp;S'!O28</f>
        <v>38.344935010714856</v>
      </c>
      <c r="E77" s="127"/>
      <c r="F77" s="127"/>
      <c r="G77" s="127"/>
      <c r="H77" s="363"/>
      <c r="J77" s="293"/>
    </row>
    <row r="78" spans="1:12" x14ac:dyDescent="0.25">
      <c r="A78" s="12"/>
      <c r="B78" s="18" t="s">
        <v>54</v>
      </c>
      <c r="C78" s="18"/>
      <c r="D78" s="41">
        <f>+'H&amp;S'!O29</f>
        <v>30.111486280592604</v>
      </c>
      <c r="E78" s="41">
        <f>+$D$77-D78</f>
        <v>8.2334487301222516</v>
      </c>
      <c r="F78" s="16">
        <f>+E78/$D$77</f>
        <v>0.21472063332019081</v>
      </c>
      <c r="G78" s="364">
        <f>+$L$44*EXP($M$44*F78)</f>
        <v>0.27162438114428505</v>
      </c>
      <c r="H78" s="44">
        <f>+E78*G78/3.6</f>
        <v>0.62122372666740455</v>
      </c>
      <c r="J78" s="293"/>
    </row>
    <row r="79" spans="1:12" x14ac:dyDescent="0.25">
      <c r="A79" s="12"/>
      <c r="B79" s="18" t="s">
        <v>381</v>
      </c>
      <c r="C79" s="18"/>
      <c r="D79" s="41">
        <f>+'H&amp;S'!O30</f>
        <v>26.356343713132929</v>
      </c>
      <c r="E79" s="41">
        <f t="shared" ref="E79:E80" si="37">+$D$77-D79</f>
        <v>11.988591297581927</v>
      </c>
      <c r="F79" s="16">
        <f t="shared" ref="F79:F80" si="38">+E79/$D$77</f>
        <v>0.31265123527349609</v>
      </c>
      <c r="G79" s="364">
        <f t="shared" ref="G79:G80" si="39">+$L$44*EXP($M$44*F79)</f>
        <v>0.34867602474485954</v>
      </c>
      <c r="H79" s="44">
        <f t="shared" ref="H79:H80" si="40">+E79*G79/3.6</f>
        <v>1.1611484322032455</v>
      </c>
      <c r="J79" s="293"/>
    </row>
    <row r="80" spans="1:12" x14ac:dyDescent="0.25">
      <c r="A80" s="12"/>
      <c r="B80" s="18" t="s">
        <v>105</v>
      </c>
      <c r="C80" s="18"/>
      <c r="D80" s="41">
        <f>+'H&amp;S'!O31</f>
        <v>22.306828971909809</v>
      </c>
      <c r="E80" s="41">
        <f t="shared" si="37"/>
        <v>16.038106038805047</v>
      </c>
      <c r="F80" s="16">
        <f t="shared" si="38"/>
        <v>0.41825878787702897</v>
      </c>
      <c r="G80" s="364">
        <f t="shared" si="39"/>
        <v>0.45643324372540112</v>
      </c>
      <c r="H80" s="44">
        <f t="shared" si="40"/>
        <v>2.0334235451399252</v>
      </c>
      <c r="J80" s="293"/>
      <c r="L80" s="293"/>
    </row>
    <row r="81" spans="1:11" x14ac:dyDescent="0.25">
      <c r="A81" s="12"/>
      <c r="B81" s="18"/>
      <c r="C81" s="18"/>
      <c r="D81" s="18"/>
      <c r="E81" s="18"/>
      <c r="F81" s="18"/>
      <c r="G81" s="18"/>
      <c r="H81" s="28"/>
    </row>
    <row r="82" spans="1:11" x14ac:dyDescent="0.25">
      <c r="A82" s="27" t="s">
        <v>189</v>
      </c>
      <c r="B82" s="18"/>
      <c r="C82" s="18"/>
      <c r="D82" s="18"/>
      <c r="E82" s="18"/>
      <c r="F82" s="18"/>
      <c r="G82" s="1026" t="s">
        <v>184</v>
      </c>
      <c r="H82" s="1027"/>
    </row>
    <row r="83" spans="1:11" x14ac:dyDescent="0.25">
      <c r="A83" s="12"/>
      <c r="B83" s="18"/>
      <c r="C83" s="18"/>
      <c r="D83" s="420" t="s">
        <v>180</v>
      </c>
      <c r="E83" s="1026" t="s">
        <v>181</v>
      </c>
      <c r="F83" s="1026"/>
      <c r="G83" s="420" t="s">
        <v>187</v>
      </c>
      <c r="H83" s="421" t="s">
        <v>185</v>
      </c>
    </row>
    <row r="84" spans="1:11" x14ac:dyDescent="0.25">
      <c r="A84" s="12"/>
      <c r="B84" s="18"/>
      <c r="C84" s="18"/>
      <c r="D84" s="354" t="s">
        <v>1</v>
      </c>
      <c r="E84" s="354" t="s">
        <v>1</v>
      </c>
      <c r="F84" s="354" t="s">
        <v>182</v>
      </c>
      <c r="G84" s="354" t="s">
        <v>183</v>
      </c>
      <c r="H84" s="135" t="s">
        <v>186</v>
      </c>
    </row>
    <row r="85" spans="1:11" x14ac:dyDescent="0.25">
      <c r="A85" s="12"/>
      <c r="B85" s="18" t="s">
        <v>136</v>
      </c>
      <c r="C85" s="18"/>
      <c r="D85" s="41">
        <f>+'H&amp;S'!S42</f>
        <v>51.143374765494883</v>
      </c>
      <c r="E85" s="127"/>
      <c r="F85" s="127"/>
      <c r="G85" s="127"/>
      <c r="H85" s="363"/>
      <c r="J85" s="7"/>
    </row>
    <row r="86" spans="1:11" x14ac:dyDescent="0.25">
      <c r="A86" s="12"/>
      <c r="B86" s="18" t="s">
        <v>54</v>
      </c>
      <c r="C86" s="18"/>
      <c r="D86" s="41">
        <f>+'H&amp;S'!T42</f>
        <v>38.018492642147578</v>
      </c>
      <c r="E86" s="41">
        <f>+$D$85-D86</f>
        <v>13.124882123347305</v>
      </c>
      <c r="F86" s="16">
        <f>+E86/$D$85</f>
        <v>0.25662917598864293</v>
      </c>
      <c r="G86" s="371">
        <f>+$L$48*EXP($M$48*F86)</f>
        <v>0.24877271402887585</v>
      </c>
      <c r="H86" s="44">
        <f>+E86*G86/3.6</f>
        <v>0.9069757075372733</v>
      </c>
    </row>
    <row r="87" spans="1:11" x14ac:dyDescent="0.25">
      <c r="A87" s="12"/>
      <c r="B87" s="18" t="s">
        <v>381</v>
      </c>
      <c r="C87" s="18"/>
      <c r="D87" s="41">
        <f>+'H&amp;S'!U42</f>
        <v>34.172985035436739</v>
      </c>
      <c r="E87" s="41">
        <f t="shared" ref="E87:E88" si="41">+$D$85-D87</f>
        <v>16.970389730058145</v>
      </c>
      <c r="F87" s="16">
        <f t="shared" ref="F87:F88" si="42">+E87/$D$85</f>
        <v>0.33181990449147342</v>
      </c>
      <c r="G87" s="371">
        <f t="shared" ref="G87:G88" si="43">+$L$48*EXP($M$48*F87)</f>
        <v>0.3013511036367334</v>
      </c>
      <c r="H87" s="44">
        <f t="shared" ref="H87:H88" si="44">+E87*G87/3.6</f>
        <v>1.4205682428606965</v>
      </c>
    </row>
    <row r="88" spans="1:11" ht="15.75" thickBot="1" x14ac:dyDescent="0.3">
      <c r="A88" s="13"/>
      <c r="B88" s="34" t="s">
        <v>105</v>
      </c>
      <c r="C88" s="34"/>
      <c r="D88" s="46">
        <f>+'H&amp;S'!V42</f>
        <v>26.842212493301489</v>
      </c>
      <c r="E88" s="46">
        <f t="shared" si="41"/>
        <v>24.301162272193395</v>
      </c>
      <c r="F88" s="61">
        <f t="shared" si="42"/>
        <v>0.47515758167348709</v>
      </c>
      <c r="G88" s="371">
        <f t="shared" si="43"/>
        <v>0.43432240155649854</v>
      </c>
      <c r="H88" s="47">
        <f t="shared" si="44"/>
        <v>2.9318164329647809</v>
      </c>
    </row>
    <row r="89" spans="1:11" ht="15.75" thickBot="1" x14ac:dyDescent="0.3"/>
    <row r="90" spans="1:11" ht="18.75" x14ac:dyDescent="0.3">
      <c r="A90" s="218" t="s">
        <v>194</v>
      </c>
      <c r="B90" s="25"/>
      <c r="C90" s="25"/>
      <c r="D90" s="25"/>
      <c r="E90" s="25"/>
      <c r="F90" s="25"/>
      <c r="G90" s="25"/>
      <c r="H90" s="26"/>
    </row>
    <row r="91" spans="1:11" x14ac:dyDescent="0.25">
      <c r="A91" s="12"/>
      <c r="B91" s="18"/>
      <c r="C91" s="18"/>
      <c r="D91" s="18"/>
      <c r="E91" s="18"/>
      <c r="F91" s="18"/>
      <c r="G91" s="18"/>
      <c r="H91" s="28"/>
    </row>
    <row r="92" spans="1:11" x14ac:dyDescent="0.25">
      <c r="A92" s="27" t="s">
        <v>195</v>
      </c>
      <c r="B92" s="18"/>
      <c r="C92" s="18"/>
      <c r="D92" s="18"/>
      <c r="E92" s="18"/>
      <c r="F92" s="18"/>
      <c r="G92" s="1026" t="s">
        <v>184</v>
      </c>
      <c r="H92" s="1027"/>
    </row>
    <row r="93" spans="1:11" x14ac:dyDescent="0.25">
      <c r="A93" s="12"/>
      <c r="B93" s="18"/>
      <c r="C93" s="18"/>
      <c r="D93" s="433" t="s">
        <v>180</v>
      </c>
      <c r="E93" s="1026" t="s">
        <v>181</v>
      </c>
      <c r="F93" s="1026"/>
      <c r="G93" s="433" t="s">
        <v>187</v>
      </c>
      <c r="H93" s="434" t="s">
        <v>185</v>
      </c>
    </row>
    <row r="94" spans="1:11" x14ac:dyDescent="0.25">
      <c r="A94" s="12"/>
      <c r="B94" s="18"/>
      <c r="C94" s="18"/>
      <c r="D94" s="354" t="s">
        <v>1</v>
      </c>
      <c r="E94" s="354" t="s">
        <v>1</v>
      </c>
      <c r="F94" s="354" t="s">
        <v>182</v>
      </c>
      <c r="G94" s="354" t="s">
        <v>183</v>
      </c>
      <c r="H94" s="135" t="s">
        <v>186</v>
      </c>
    </row>
    <row r="95" spans="1:11" x14ac:dyDescent="0.25">
      <c r="A95" s="12"/>
      <c r="B95" s="18" t="s">
        <v>136</v>
      </c>
      <c r="C95" s="18"/>
      <c r="D95" s="41">
        <f>+Produktion!Q80-Produktion!O80</f>
        <v>104.85408350729453</v>
      </c>
      <c r="E95" s="127"/>
      <c r="F95" s="127"/>
      <c r="G95" s="127"/>
      <c r="H95" s="363"/>
      <c r="K95" s="293"/>
    </row>
    <row r="96" spans="1:11" x14ac:dyDescent="0.25">
      <c r="A96" s="12"/>
      <c r="B96" s="18" t="s">
        <v>54</v>
      </c>
      <c r="C96" s="18"/>
      <c r="D96" s="41">
        <f>+Produktion!Q84-Produktion!O84</f>
        <v>85.593747624775631</v>
      </c>
      <c r="E96" s="41">
        <f>+$D$95-D96</f>
        <v>19.260335882518902</v>
      </c>
      <c r="F96" s="16">
        <f>+E96/$D$95</f>
        <v>0.18368703667300654</v>
      </c>
      <c r="G96" s="364">
        <f>+$L$49*EXP($M$49*F96)</f>
        <v>0.13212317385244077</v>
      </c>
      <c r="H96" s="44">
        <f>+E96*G96/3.6</f>
        <v>0.70687130729512437</v>
      </c>
      <c r="K96" s="293"/>
    </row>
    <row r="97" spans="1:11" x14ac:dyDescent="0.25">
      <c r="A97" s="12"/>
      <c r="B97" s="18" t="s">
        <v>381</v>
      </c>
      <c r="C97" s="18"/>
      <c r="D97" s="41">
        <f>+Produktion!Q88-Produktion!O88</f>
        <v>77.927356019627496</v>
      </c>
      <c r="E97" s="41">
        <f t="shared" ref="E97:E98" si="45">+$D$95-D97</f>
        <v>26.926727487667037</v>
      </c>
      <c r="F97" s="16">
        <f t="shared" ref="F97:F98" si="46">+E97/$D$95</f>
        <v>0.25680189637815859</v>
      </c>
      <c r="G97" s="364">
        <f t="shared" ref="G97:G98" si="47">+$L$49*EXP($M$49*F97)</f>
        <v>0.17469356585909496</v>
      </c>
      <c r="H97" s="44">
        <f t="shared" ref="H97:H98" si="48">+E97*G97/3.6</f>
        <v>1.3066461227046289</v>
      </c>
      <c r="K97" s="293"/>
    </row>
    <row r="98" spans="1:11" x14ac:dyDescent="0.25">
      <c r="A98" s="12"/>
      <c r="B98" s="18" t="s">
        <v>105</v>
      </c>
      <c r="C98" s="18"/>
      <c r="D98" s="41">
        <f>+Produktion!Q92-Produktion!O92</f>
        <v>66.618695351662026</v>
      </c>
      <c r="E98" s="41">
        <f t="shared" si="45"/>
        <v>38.235388155632506</v>
      </c>
      <c r="F98" s="16">
        <f t="shared" si="46"/>
        <v>0.36465330559083597</v>
      </c>
      <c r="G98" s="364">
        <f t="shared" si="47"/>
        <v>0.26375635255009072</v>
      </c>
      <c r="H98" s="44">
        <f t="shared" si="48"/>
        <v>2.8013406995184917</v>
      </c>
      <c r="K98" s="293"/>
    </row>
    <row r="99" spans="1:11" x14ac:dyDescent="0.25">
      <c r="A99" s="12"/>
      <c r="B99" s="18"/>
      <c r="C99" s="18"/>
      <c r="D99" s="18"/>
      <c r="E99" s="18"/>
      <c r="F99" s="18"/>
      <c r="G99" s="18"/>
      <c r="H99" s="28"/>
    </row>
    <row r="100" spans="1:11" x14ac:dyDescent="0.25">
      <c r="A100" s="27" t="s">
        <v>196</v>
      </c>
      <c r="B100" s="18"/>
      <c r="C100" s="18"/>
      <c r="D100" s="18"/>
      <c r="E100" s="18"/>
      <c r="F100" s="18"/>
      <c r="G100" s="1026" t="s">
        <v>184</v>
      </c>
      <c r="H100" s="1027"/>
    </row>
    <row r="101" spans="1:11" x14ac:dyDescent="0.25">
      <c r="A101" s="12"/>
      <c r="B101" s="18"/>
      <c r="C101" s="18"/>
      <c r="D101" s="433" t="s">
        <v>180</v>
      </c>
      <c r="E101" s="1026" t="s">
        <v>181</v>
      </c>
      <c r="F101" s="1026"/>
      <c r="G101" s="433" t="s">
        <v>187</v>
      </c>
      <c r="H101" s="434" t="s">
        <v>185</v>
      </c>
    </row>
    <row r="102" spans="1:11" x14ac:dyDescent="0.25">
      <c r="A102" s="12"/>
      <c r="B102" s="18"/>
      <c r="C102" s="18"/>
      <c r="D102" s="354" t="s">
        <v>1</v>
      </c>
      <c r="E102" s="354" t="s">
        <v>1</v>
      </c>
      <c r="F102" s="354" t="s">
        <v>182</v>
      </c>
      <c r="G102" s="354" t="s">
        <v>183</v>
      </c>
      <c r="H102" s="135" t="s">
        <v>186</v>
      </c>
    </row>
    <row r="103" spans="1:11" x14ac:dyDescent="0.25">
      <c r="A103" s="12"/>
      <c r="B103" s="18" t="s">
        <v>136</v>
      </c>
      <c r="C103" s="18"/>
      <c r="D103" s="41">
        <f>+Produktion!O80</f>
        <v>55.057639511899723</v>
      </c>
      <c r="E103" s="127"/>
      <c r="F103" s="127"/>
      <c r="G103" s="127"/>
      <c r="H103" s="363"/>
    </row>
    <row r="104" spans="1:11" x14ac:dyDescent="0.25">
      <c r="A104" s="12"/>
      <c r="B104" s="18" t="s">
        <v>54</v>
      </c>
      <c r="C104" s="18"/>
      <c r="D104" s="41">
        <f>+Produktion!O84</f>
        <v>42.522742604208609</v>
      </c>
      <c r="E104" s="41">
        <f>+$D$103-D104</f>
        <v>12.534896907691113</v>
      </c>
      <c r="F104" s="16">
        <f>+E104/$D$103</f>
        <v>0.22766862180827641</v>
      </c>
      <c r="G104" s="364">
        <f>+$L$48*EXP($M$48*F104)</f>
        <v>0.23106297014151375</v>
      </c>
      <c r="H104" s="44">
        <f>+E104*G104/3.6</f>
        <v>0.80454180830799582</v>
      </c>
    </row>
    <row r="105" spans="1:11" x14ac:dyDescent="0.25">
      <c r="A105" s="12"/>
      <c r="B105" s="18" t="s">
        <v>381</v>
      </c>
      <c r="C105" s="18"/>
      <c r="D105" s="41">
        <f>+Produktion!O88</f>
        <v>39.230175542990949</v>
      </c>
      <c r="E105" s="41">
        <f t="shared" ref="E105:E106" si="49">+$D$103-D105</f>
        <v>15.827463968908773</v>
      </c>
      <c r="F105" s="16">
        <f t="shared" ref="F105:F106" si="50">+E105/$D$103</f>
        <v>0.28747080530918784</v>
      </c>
      <c r="G105" s="364">
        <f t="shared" ref="G105:G106" si="51">+$L$48*EXP($M$48*F105)</f>
        <v>0.2691276599455299</v>
      </c>
      <c r="H105" s="44">
        <f t="shared" ref="H105:H106" si="52">+E105*G105/3.6</f>
        <v>1.1832245391179466</v>
      </c>
    </row>
    <row r="106" spans="1:11" ht="15.75" thickBot="1" x14ac:dyDescent="0.3">
      <c r="A106" s="13"/>
      <c r="B106" s="34" t="s">
        <v>105</v>
      </c>
      <c r="C106" s="34"/>
      <c r="D106" s="46">
        <f>+Produktion!O92</f>
        <v>33.524270652359178</v>
      </c>
      <c r="E106" s="46">
        <f t="shared" si="49"/>
        <v>21.533368859540545</v>
      </c>
      <c r="F106" s="61">
        <f t="shared" si="50"/>
        <v>0.39110592191091831</v>
      </c>
      <c r="G106" s="366">
        <f t="shared" si="51"/>
        <v>0.35053318697274044</v>
      </c>
      <c r="H106" s="47">
        <f t="shared" si="52"/>
        <v>2.0967112257206422</v>
      </c>
    </row>
    <row r="107" spans="1:11" ht="15.75" thickBot="1" x14ac:dyDescent="0.3"/>
    <row r="108" spans="1:11" x14ac:dyDescent="0.25">
      <c r="B108" s="118"/>
      <c r="C108" s="1001" t="str">
        <f>+N19</f>
        <v>I alt</v>
      </c>
      <c r="D108" s="1002" t="str">
        <f>+O19</f>
        <v>Diff</v>
      </c>
    </row>
    <row r="109" spans="1:11" x14ac:dyDescent="0.25">
      <c r="B109" s="113"/>
      <c r="C109" s="1000" t="str">
        <f t="shared" ref="C109:D109" si="53">+N20</f>
        <v>kr/kWh</v>
      </c>
      <c r="D109" s="1003" t="str">
        <f t="shared" si="53"/>
        <v>kr/kWh</v>
      </c>
    </row>
    <row r="110" spans="1:11" x14ac:dyDescent="0.25">
      <c r="B110" s="12" t="s">
        <v>54</v>
      </c>
      <c r="C110" s="1004">
        <f t="shared" ref="C110:D110" si="54">+N21</f>
        <v>0.25779483347499182</v>
      </c>
      <c r="D110" s="1005">
        <f t="shared" si="54"/>
        <v>0</v>
      </c>
    </row>
    <row r="111" spans="1:11" x14ac:dyDescent="0.25">
      <c r="B111" s="12" t="s">
        <v>381</v>
      </c>
      <c r="C111" s="1004">
        <f t="shared" ref="C111:D111" si="55">+N22</f>
        <v>0.31668840576195645</v>
      </c>
      <c r="D111" s="1005">
        <f t="shared" si="55"/>
        <v>0.51694597653293828</v>
      </c>
    </row>
    <row r="112" spans="1:11" ht="15.75" thickBot="1" x14ac:dyDescent="0.3">
      <c r="B112" s="13" t="s">
        <v>105</v>
      </c>
      <c r="C112" s="1006">
        <f t="shared" ref="C112:D112" si="56">+N23</f>
        <v>0.41592341871315708</v>
      </c>
      <c r="D112" s="1007">
        <f t="shared" si="56"/>
        <v>0.72347151564541723</v>
      </c>
    </row>
  </sheetData>
  <mergeCells count="30">
    <mergeCell ref="O4:P4"/>
    <mergeCell ref="Q4:R4"/>
    <mergeCell ref="S4:T4"/>
    <mergeCell ref="G66:H66"/>
    <mergeCell ref="E67:F67"/>
    <mergeCell ref="G27:H27"/>
    <mergeCell ref="E28:F28"/>
    <mergeCell ref="E43:F43"/>
    <mergeCell ref="G42:H42"/>
    <mergeCell ref="G57:H57"/>
    <mergeCell ref="C19:E19"/>
    <mergeCell ref="F19:H19"/>
    <mergeCell ref="I19:J19"/>
    <mergeCell ref="C4:J4"/>
    <mergeCell ref="C5:E5"/>
    <mergeCell ref="F5:H5"/>
    <mergeCell ref="G100:H100"/>
    <mergeCell ref="E101:F101"/>
    <mergeCell ref="G74:H74"/>
    <mergeCell ref="E75:F75"/>
    <mergeCell ref="G82:H82"/>
    <mergeCell ref="E83:F83"/>
    <mergeCell ref="G92:H92"/>
    <mergeCell ref="E93:F93"/>
    <mergeCell ref="I5:J5"/>
    <mergeCell ref="C18:J18"/>
    <mergeCell ref="C11:J11"/>
    <mergeCell ref="C12:E12"/>
    <mergeCell ref="F12:H12"/>
    <mergeCell ref="I12:J12"/>
  </mergeCells>
  <pageMargins left="0.43307086614173229" right="0.31496062992125984" top="0.31496062992125984" bottom="0.62992125984251968" header="0.31496062992125984" footer="0.39370078740157483"/>
  <pageSetup paperSize="9" scale="31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zoomScale="84" zoomScaleNormal="84" workbookViewId="0">
      <pane xSplit="1" topLeftCell="B1" activePane="topRight" state="frozen"/>
      <selection pane="topRight" sqref="A1:T19"/>
    </sheetView>
  </sheetViews>
  <sheetFormatPr defaultRowHeight="15" x14ac:dyDescent="0.25"/>
  <cols>
    <col min="1" max="1" width="27.7109375" customWidth="1"/>
    <col min="4" max="6" width="8.28515625" customWidth="1"/>
    <col min="7" max="7" width="6.28515625" customWidth="1"/>
    <col min="9" max="9" width="6.7109375" customWidth="1"/>
    <col min="15" max="15" width="7.7109375" customWidth="1"/>
    <col min="16" max="16" width="9" customWidth="1"/>
    <col min="19" max="19" width="3.85546875" customWidth="1"/>
  </cols>
  <sheetData>
    <row r="1" spans="1:21" ht="18.75" x14ac:dyDescent="0.3">
      <c r="A1" s="6" t="s">
        <v>239</v>
      </c>
    </row>
    <row r="2" spans="1:21" x14ac:dyDescent="0.25">
      <c r="A2" t="s">
        <v>240</v>
      </c>
    </row>
    <row r="3" spans="1:21" ht="15.75" thickBot="1" x14ac:dyDescent="0.3">
      <c r="A3" t="s">
        <v>241</v>
      </c>
    </row>
    <row r="4" spans="1:21" x14ac:dyDescent="0.25">
      <c r="A4" s="227" t="s">
        <v>0</v>
      </c>
      <c r="B4" s="228" t="s">
        <v>2</v>
      </c>
      <c r="C4" s="229" t="s">
        <v>139</v>
      </c>
      <c r="D4" s="229" t="s">
        <v>3</v>
      </c>
      <c r="E4" s="229" t="s">
        <v>140</v>
      </c>
      <c r="F4" s="229" t="s">
        <v>141</v>
      </c>
      <c r="G4" s="229" t="s">
        <v>4</v>
      </c>
      <c r="H4" s="229" t="s">
        <v>5</v>
      </c>
      <c r="I4" s="229" t="s">
        <v>6</v>
      </c>
      <c r="J4" s="1087" t="s">
        <v>7</v>
      </c>
      <c r="K4" s="1088"/>
      <c r="L4" s="1088"/>
      <c r="M4" s="1088"/>
      <c r="N4" s="1088"/>
      <c r="O4" s="1088"/>
      <c r="P4" s="228" t="s">
        <v>8</v>
      </c>
      <c r="Q4" s="229" t="s">
        <v>9</v>
      </c>
      <c r="R4" s="229" t="s">
        <v>10</v>
      </c>
      <c r="S4" s="230"/>
      <c r="T4" s="285" t="s">
        <v>34</v>
      </c>
    </row>
    <row r="5" spans="1:21" x14ac:dyDescent="0.25">
      <c r="A5" s="231"/>
      <c r="B5" s="232"/>
      <c r="C5" s="233"/>
      <c r="D5" s="233" t="s">
        <v>128</v>
      </c>
      <c r="E5" s="233"/>
      <c r="F5" s="233" t="s">
        <v>142</v>
      </c>
      <c r="G5" s="233"/>
      <c r="H5" s="233"/>
      <c r="I5" s="233"/>
      <c r="J5" s="234" t="s">
        <v>129</v>
      </c>
      <c r="K5" s="235" t="s">
        <v>130</v>
      </c>
      <c r="L5" s="235" t="s">
        <v>131</v>
      </c>
      <c r="M5" s="235" t="s">
        <v>132</v>
      </c>
      <c r="N5" s="235" t="s">
        <v>133</v>
      </c>
      <c r="O5" s="235" t="s">
        <v>134</v>
      </c>
      <c r="P5" s="232"/>
      <c r="Q5" s="233"/>
      <c r="R5" s="233"/>
      <c r="S5" s="236"/>
      <c r="T5" s="286"/>
    </row>
    <row r="6" spans="1:21" x14ac:dyDescent="0.25">
      <c r="A6" s="237" t="s">
        <v>1</v>
      </c>
      <c r="B6" s="238" t="s">
        <v>11</v>
      </c>
      <c r="C6" s="239"/>
      <c r="D6" s="239" t="s">
        <v>12</v>
      </c>
      <c r="E6" s="239"/>
      <c r="F6" s="239"/>
      <c r="G6" s="239" t="s">
        <v>13</v>
      </c>
      <c r="H6" s="239" t="s">
        <v>14</v>
      </c>
      <c r="I6" s="239" t="s">
        <v>15</v>
      </c>
      <c r="J6" s="240" t="s">
        <v>16</v>
      </c>
      <c r="K6" s="241" t="s">
        <v>17</v>
      </c>
      <c r="L6" s="241"/>
      <c r="M6" s="241" t="s">
        <v>18</v>
      </c>
      <c r="N6" s="241"/>
      <c r="O6" s="241"/>
      <c r="P6" s="238" t="s">
        <v>19</v>
      </c>
      <c r="Q6" s="239" t="s">
        <v>20</v>
      </c>
      <c r="R6" s="239" t="s">
        <v>21</v>
      </c>
      <c r="S6" s="242"/>
      <c r="T6" s="287"/>
    </row>
    <row r="7" spans="1:21" x14ac:dyDescent="0.25">
      <c r="A7" s="52" t="s">
        <v>22</v>
      </c>
      <c r="B7" s="1014">
        <f>+[5]Samfat!B8</f>
        <v>0</v>
      </c>
      <c r="C7" s="506">
        <f>+[5]Samfat!C8</f>
        <v>0</v>
      </c>
      <c r="D7" s="506">
        <f>+[5]Samfat!D8</f>
        <v>0</v>
      </c>
      <c r="E7" s="506">
        <f>+[5]Samfat!E8</f>
        <v>0</v>
      </c>
      <c r="F7" s="1009">
        <f>+[5]Samfat!F8</f>
        <v>0.18884156518799999</v>
      </c>
      <c r="G7" s="506">
        <f>+[5]Samfat!G8</f>
        <v>0</v>
      </c>
      <c r="H7" s="506">
        <f>+[5]Samfat!H8</f>
        <v>0</v>
      </c>
      <c r="I7" s="507">
        <f>+[5]Samfat!I8</f>
        <v>0</v>
      </c>
      <c r="J7" s="506">
        <f>+[5]Samfat!J8</f>
        <v>0</v>
      </c>
      <c r="K7" s="506">
        <f>+[5]Samfat!K8</f>
        <v>0</v>
      </c>
      <c r="L7" s="506">
        <f>+[5]Samfat!L8</f>
        <v>0</v>
      </c>
      <c r="M7" s="506">
        <f>+[5]Samfat!M8</f>
        <v>0</v>
      </c>
      <c r="N7" s="506">
        <f>+[5]Samfat!N8</f>
        <v>0</v>
      </c>
      <c r="O7" s="507">
        <f>+[5]Samfat!O8</f>
        <v>0</v>
      </c>
      <c r="P7" s="226">
        <f>+[5]Samfat!P8</f>
        <v>69.087483107984525</v>
      </c>
      <c r="Q7" s="154">
        <f>+[5]Samfat!Q8</f>
        <v>32.330972362752135</v>
      </c>
      <c r="R7" s="154">
        <f>+[5]Samfat!R8</f>
        <v>22.38472518771707</v>
      </c>
      <c r="S7" s="154"/>
      <c r="T7" s="288">
        <f>+SUM(B7:R7)</f>
        <v>123.99202222364173</v>
      </c>
      <c r="U7" s="10"/>
    </row>
    <row r="8" spans="1:21" x14ac:dyDescent="0.25">
      <c r="A8" s="113" t="s">
        <v>23</v>
      </c>
      <c r="B8" s="225">
        <f>+[5]Samfat!B9</f>
        <v>0</v>
      </c>
      <c r="C8" s="157">
        <f>+[5]Samfat!C9</f>
        <v>0</v>
      </c>
      <c r="D8" s="157">
        <f>+[5]Samfat!D9</f>
        <v>0</v>
      </c>
      <c r="E8" s="157">
        <f>+[5]Samfat!E9</f>
        <v>0</v>
      </c>
      <c r="F8" s="157">
        <f>+[5]Samfat!F9</f>
        <v>0</v>
      </c>
      <c r="G8" s="157">
        <f>+[5]Samfat!G9</f>
        <v>0</v>
      </c>
      <c r="H8" s="157">
        <f>+[5]Samfat!H9</f>
        <v>0</v>
      </c>
      <c r="I8" s="505">
        <f>+[5]Samfat!I9</f>
        <v>0</v>
      </c>
      <c r="J8" s="157">
        <f>+[5]Samfat!J9</f>
        <v>0</v>
      </c>
      <c r="K8" s="157">
        <f>+[5]Samfat!K9</f>
        <v>0</v>
      </c>
      <c r="L8" s="157">
        <f>+[5]Samfat!L9</f>
        <v>0</v>
      </c>
      <c r="M8" s="157">
        <f>+[5]Samfat!M9</f>
        <v>0</v>
      </c>
      <c r="N8" s="157">
        <f>+[5]Samfat!N9</f>
        <v>0</v>
      </c>
      <c r="O8" s="505">
        <f>+[5]Samfat!O9</f>
        <v>0</v>
      </c>
      <c r="P8" s="225">
        <f>+[5]Samfat!P9</f>
        <v>5.6537451112498891</v>
      </c>
      <c r="Q8" s="157">
        <f>+[5]Samfat!Q9</f>
        <v>33.913079656872192</v>
      </c>
      <c r="R8" s="157">
        <f>+[5]Samfat!R9</f>
        <v>8.9192452911029356</v>
      </c>
      <c r="S8" s="157"/>
      <c r="T8" s="289">
        <f t="shared" ref="T8:T18" si="0">+SUM(B8:R8)</f>
        <v>48.486070059225014</v>
      </c>
    </row>
    <row r="9" spans="1:21" x14ac:dyDescent="0.25">
      <c r="A9" s="12" t="s">
        <v>24</v>
      </c>
      <c r="B9" s="1014">
        <f>+[5]Samfat!B10</f>
        <v>0</v>
      </c>
      <c r="C9" s="506">
        <f>+[5]Samfat!C10</f>
        <v>0</v>
      </c>
      <c r="D9" s="506">
        <f>+[5]Samfat!D10</f>
        <v>0</v>
      </c>
      <c r="E9" s="506">
        <f>+[5]Samfat!E10</f>
        <v>0</v>
      </c>
      <c r="F9" s="506">
        <f>+[5]Samfat!F10</f>
        <v>0</v>
      </c>
      <c r="G9" s="506">
        <f>+[5]Samfat!G10</f>
        <v>0</v>
      </c>
      <c r="H9" s="506">
        <f>+[5]Samfat!H10</f>
        <v>0</v>
      </c>
      <c r="I9" s="507">
        <f>+[5]Samfat!I10</f>
        <v>0</v>
      </c>
      <c r="J9" s="506">
        <f>+[5]Samfat!J10</f>
        <v>0</v>
      </c>
      <c r="K9" s="506">
        <f>+[5]Samfat!K10</f>
        <v>0</v>
      </c>
      <c r="L9" s="506">
        <f>+[5]Samfat!L10</f>
        <v>0</v>
      </c>
      <c r="M9" s="506">
        <f>+[5]Samfat!M10</f>
        <v>0</v>
      </c>
      <c r="N9" s="506">
        <f>+[5]Samfat!N10</f>
        <v>0</v>
      </c>
      <c r="O9" s="507">
        <f>+[5]Samfat!O10</f>
        <v>0</v>
      </c>
      <c r="P9" s="226">
        <f>+[5]Samfat!P10</f>
        <v>2.9855357447127275</v>
      </c>
      <c r="Q9" s="154">
        <f>+[5]Samfat!Q10</f>
        <v>9.86587102016051</v>
      </c>
      <c r="R9" s="154">
        <f>+[5]Samfat!R10</f>
        <v>8.5879049013590656</v>
      </c>
      <c r="S9" s="154"/>
      <c r="T9" s="288">
        <f t="shared" si="0"/>
        <v>21.439311666232303</v>
      </c>
    </row>
    <row r="10" spans="1:21" x14ac:dyDescent="0.25">
      <c r="A10" s="12" t="s">
        <v>25</v>
      </c>
      <c r="B10" s="226">
        <f>+[5]Samfat!B11</f>
        <v>0</v>
      </c>
      <c r="C10" s="1011">
        <f>+[5]Samfat!C11</f>
        <v>5.3552472358722354E-2</v>
      </c>
      <c r="D10" s="154">
        <f>+[5]Samfat!D11</f>
        <v>0</v>
      </c>
      <c r="E10" s="154">
        <f>+[5]Samfat!E11</f>
        <v>0</v>
      </c>
      <c r="F10" s="154">
        <f>+[5]Samfat!F11</f>
        <v>0</v>
      </c>
      <c r="G10" s="154">
        <f>+[5]Samfat!G11</f>
        <v>0</v>
      </c>
      <c r="H10" s="154">
        <f>+[5]Samfat!H11</f>
        <v>0</v>
      </c>
      <c r="I10" s="508">
        <f>+[5]Samfat!I11</f>
        <v>0</v>
      </c>
      <c r="J10" s="154">
        <f>+[5]Samfat!J11</f>
        <v>0</v>
      </c>
      <c r="K10" s="154">
        <f>+[5]Samfat!K11</f>
        <v>0</v>
      </c>
      <c r="L10" s="1011">
        <f>+[5]Samfat!L11</f>
        <v>0.64449560810810802</v>
      </c>
      <c r="M10" s="1011">
        <f>+[5]Samfat!M11</f>
        <v>0.13210853808353817</v>
      </c>
      <c r="N10" s="154">
        <f>+[5]Samfat!N11</f>
        <v>0</v>
      </c>
      <c r="O10" s="1010">
        <f>+[5]Samfat!O11</f>
        <v>0.13210853808353806</v>
      </c>
      <c r="P10" s="226">
        <f>+[5]Samfat!P11</f>
        <v>1.2697173837568572</v>
      </c>
      <c r="Q10" s="154">
        <f>+[5]Samfat!Q11</f>
        <v>4.1245193343134954</v>
      </c>
      <c r="R10" s="154">
        <f>+[5]Samfat!R11</f>
        <v>5.2164299741900901</v>
      </c>
      <c r="S10" s="154"/>
      <c r="T10" s="288">
        <f t="shared" si="0"/>
        <v>11.572931848894349</v>
      </c>
    </row>
    <row r="11" spans="1:21" x14ac:dyDescent="0.25">
      <c r="A11" s="12" t="s">
        <v>26</v>
      </c>
      <c r="B11" s="226">
        <f>+[5]Samfat!B12</f>
        <v>0</v>
      </c>
      <c r="C11" s="154">
        <f>+[5]Samfat!C12</f>
        <v>2.00173326913818E-3</v>
      </c>
      <c r="D11" s="154">
        <f>+[5]Samfat!D12</f>
        <v>0</v>
      </c>
      <c r="E11" s="154">
        <f>+[5]Samfat!E12</f>
        <v>0</v>
      </c>
      <c r="F11" s="154">
        <f>+[5]Samfat!F12</f>
        <v>0</v>
      </c>
      <c r="G11" s="154">
        <f>+[5]Samfat!G12</f>
        <v>0</v>
      </c>
      <c r="H11" s="154">
        <f>+[5]Samfat!H12</f>
        <v>0</v>
      </c>
      <c r="I11" s="508">
        <f>+[5]Samfat!I12</f>
        <v>0</v>
      </c>
      <c r="J11" s="154">
        <f>+[5]Samfat!J12</f>
        <v>0</v>
      </c>
      <c r="K11" s="154">
        <f>+[5]Samfat!K12</f>
        <v>0</v>
      </c>
      <c r="L11" s="1011">
        <f>+[5]Samfat!L12</f>
        <v>4.664038517091959E-2</v>
      </c>
      <c r="M11" s="1011">
        <f>+[5]Samfat!M12</f>
        <v>9.3280770341839167E-2</v>
      </c>
      <c r="N11" s="154">
        <f>+[5]Samfat!N12</f>
        <v>0</v>
      </c>
      <c r="O11" s="1010">
        <f>+[5]Samfat!O12</f>
        <v>9.3280770341839223E-2</v>
      </c>
      <c r="P11" s="226">
        <f>+[5]Samfat!P12</f>
        <v>1.0471586218760041</v>
      </c>
      <c r="Q11" s="154">
        <f>+[5]Samfat!Q12</f>
        <v>2.7523719926209695</v>
      </c>
      <c r="R11" s="154">
        <f>+[5]Samfat!R12</f>
        <v>6.2301539305198768</v>
      </c>
      <c r="S11" s="154"/>
      <c r="T11" s="288">
        <f t="shared" si="0"/>
        <v>10.264888204140586</v>
      </c>
    </row>
    <row r="12" spans="1:21" x14ac:dyDescent="0.25">
      <c r="A12" s="113" t="s">
        <v>27</v>
      </c>
      <c r="B12" s="225">
        <f>+[5]Samfat!B13</f>
        <v>0</v>
      </c>
      <c r="C12" s="157">
        <f>+[5]Samfat!C13</f>
        <v>4.3149536883890179E-2</v>
      </c>
      <c r="D12" s="157">
        <f>+[5]Samfat!D13</f>
        <v>0</v>
      </c>
      <c r="E12" s="157">
        <f>+[5]Samfat!E13</f>
        <v>0</v>
      </c>
      <c r="F12" s="157">
        <f>+[5]Samfat!F13</f>
        <v>0</v>
      </c>
      <c r="G12" s="157">
        <f>+[5]Samfat!G13</f>
        <v>0</v>
      </c>
      <c r="H12" s="157">
        <f>+[5]Samfat!H13</f>
        <v>0</v>
      </c>
      <c r="I12" s="505">
        <f>+[5]Samfat!I13</f>
        <v>0</v>
      </c>
      <c r="J12" s="157">
        <f>+[5]Samfat!J13</f>
        <v>0</v>
      </c>
      <c r="K12" s="157">
        <f>+[5]Samfat!K13</f>
        <v>0</v>
      </c>
      <c r="L12" s="1012">
        <f>+[5]Samfat!L13</f>
        <v>0.55812987925901425</v>
      </c>
      <c r="M12" s="1012">
        <f>+[5]Samfat!M13</f>
        <v>1.1434627274230897</v>
      </c>
      <c r="N12" s="157">
        <f>+[5]Samfat!N13</f>
        <v>0</v>
      </c>
      <c r="O12" s="1013">
        <f>+[5]Samfat!O13</f>
        <v>0.98899989249090281</v>
      </c>
      <c r="P12" s="225">
        <f>+[5]Samfat!P13</f>
        <v>8.2855825966527323</v>
      </c>
      <c r="Q12" s="157">
        <f>+[5]Samfat!Q13</f>
        <v>12.274726651145427</v>
      </c>
      <c r="R12" s="157">
        <f>+[5]Samfat!R13</f>
        <v>13.229217588126421</v>
      </c>
      <c r="S12" s="157"/>
      <c r="T12" s="289">
        <f t="shared" si="0"/>
        <v>36.523268871981472</v>
      </c>
    </row>
    <row r="13" spans="1:21" x14ac:dyDescent="0.25">
      <c r="A13" s="12" t="s">
        <v>28</v>
      </c>
      <c r="B13" s="1014">
        <f>+[5]Samfat!B14</f>
        <v>0</v>
      </c>
      <c r="C13" s="506">
        <f>+[5]Samfat!C14</f>
        <v>0</v>
      </c>
      <c r="D13" s="1009">
        <f>+[5]Samfat!D14</f>
        <v>2.9625653468126929</v>
      </c>
      <c r="E13" s="506">
        <f>+[5]Samfat!E14</f>
        <v>0</v>
      </c>
      <c r="F13" s="506">
        <f>+[5]Samfat!F14</f>
        <v>0</v>
      </c>
      <c r="G13" s="506">
        <f>+[5]Samfat!G14</f>
        <v>0</v>
      </c>
      <c r="H13" s="506">
        <f>+[5]Samfat!H14</f>
        <v>0</v>
      </c>
      <c r="I13" s="507">
        <f>+[5]Samfat!I14</f>
        <v>0</v>
      </c>
      <c r="J13" s="506">
        <f>+[5]Samfat!J14</f>
        <v>0.90802026818309467</v>
      </c>
      <c r="K13" s="506">
        <f>+[5]Samfat!K14</f>
        <v>1.8805711668070766</v>
      </c>
      <c r="L13" s="506">
        <f>+[5]Samfat!L14</f>
        <v>0.72344429935411381</v>
      </c>
      <c r="M13" s="506">
        <f>+[5]Samfat!M14</f>
        <v>0</v>
      </c>
      <c r="N13" s="506">
        <f>+[5]Samfat!N14</f>
        <v>0</v>
      </c>
      <c r="O13" s="507">
        <f>+[5]Samfat!O14</f>
        <v>0</v>
      </c>
      <c r="P13" s="226">
        <f>+[5]Samfat!P14</f>
        <v>0.14943056725638865</v>
      </c>
      <c r="Q13" s="154">
        <f>+[5]Samfat!Q14</f>
        <v>0</v>
      </c>
      <c r="R13" s="154">
        <f>+[5]Samfat!R14</f>
        <v>4.2057608817747827</v>
      </c>
      <c r="S13" s="154"/>
      <c r="T13" s="288">
        <f t="shared" si="0"/>
        <v>10.829792530188149</v>
      </c>
    </row>
    <row r="14" spans="1:21" x14ac:dyDescent="0.25">
      <c r="A14" s="12" t="s">
        <v>29</v>
      </c>
      <c r="B14" s="226">
        <f>+[5]Samfat!B15</f>
        <v>0</v>
      </c>
      <c r="C14" s="154">
        <f>+[5]Samfat!C15</f>
        <v>0</v>
      </c>
      <c r="D14" s="1011">
        <f>+[5]Samfat!D15</f>
        <v>2.6405440344734719E-2</v>
      </c>
      <c r="E14" s="154">
        <f>+[5]Samfat!E15</f>
        <v>0</v>
      </c>
      <c r="F14" s="154">
        <f>+[5]Samfat!F15</f>
        <v>0</v>
      </c>
      <c r="G14" s="154">
        <f>+[5]Samfat!G15</f>
        <v>0</v>
      </c>
      <c r="H14" s="154">
        <f>+[5]Samfat!H15</f>
        <v>0</v>
      </c>
      <c r="I14" s="508">
        <f>+[5]Samfat!I15</f>
        <v>0</v>
      </c>
      <c r="J14" s="154">
        <f>+[5]Samfat!J15</f>
        <v>0</v>
      </c>
      <c r="K14" s="154">
        <f>+[5]Samfat!K15</f>
        <v>3.4419926743872882</v>
      </c>
      <c r="L14" s="154">
        <f>+[5]Samfat!L15</f>
        <v>0.38244363048747571</v>
      </c>
      <c r="M14" s="154">
        <f>+[5]Samfat!M15</f>
        <v>0</v>
      </c>
      <c r="N14" s="154">
        <f>+[5]Samfat!N15</f>
        <v>0</v>
      </c>
      <c r="O14" s="508">
        <f>+[5]Samfat!O15</f>
        <v>0</v>
      </c>
      <c r="P14" s="226">
        <f>+[5]Samfat!P15</f>
        <v>3.4094936708860754E-2</v>
      </c>
      <c r="Q14" s="154">
        <f>+[5]Samfat!Q15</f>
        <v>0</v>
      </c>
      <c r="R14" s="154">
        <f>+[5]Samfat!R15</f>
        <v>0.8139259359008888</v>
      </c>
      <c r="S14" s="154"/>
      <c r="T14" s="288">
        <f t="shared" si="0"/>
        <v>4.6988626178292483</v>
      </c>
    </row>
    <row r="15" spans="1:21" x14ac:dyDescent="0.25">
      <c r="A15" s="12" t="s">
        <v>30</v>
      </c>
      <c r="B15" s="226">
        <f>+[5]Samfat!B16</f>
        <v>0</v>
      </c>
      <c r="C15" s="154">
        <f>+[5]Samfat!C16</f>
        <v>0</v>
      </c>
      <c r="D15" s="154">
        <f>+[5]Samfat!D16</f>
        <v>0</v>
      </c>
      <c r="E15" s="154">
        <f>+[5]Samfat!E16</f>
        <v>0</v>
      </c>
      <c r="F15" s="154">
        <f>+[5]Samfat!F16</f>
        <v>0</v>
      </c>
      <c r="G15" s="154">
        <f>+[5]Samfat!G16</f>
        <v>0</v>
      </c>
      <c r="H15" s="154">
        <f>+[5]Samfat!H16</f>
        <v>0</v>
      </c>
      <c r="I15" s="1010">
        <f>+[5]Samfat!I16</f>
        <v>1.9600441343893082</v>
      </c>
      <c r="J15" s="154">
        <f>+[5]Samfat!J16</f>
        <v>7.8283628263828738E-3</v>
      </c>
      <c r="K15" s="154">
        <f>+[5]Samfat!K16</f>
        <v>0</v>
      </c>
      <c r="L15" s="154">
        <f>+[5]Samfat!L16</f>
        <v>0</v>
      </c>
      <c r="M15" s="154">
        <f>+[5]Samfat!M16</f>
        <v>0</v>
      </c>
      <c r="N15" s="154">
        <f>+[5]Samfat!N16</f>
        <v>0</v>
      </c>
      <c r="O15" s="508">
        <f>+[5]Samfat!O16</f>
        <v>0</v>
      </c>
      <c r="P15" s="226">
        <f>+[5]Samfat!P16</f>
        <v>0</v>
      </c>
      <c r="Q15" s="154">
        <f>+[5]Samfat!Q16</f>
        <v>0</v>
      </c>
      <c r="R15" s="154">
        <f>+[5]Samfat!R16</f>
        <v>0.14304553891845068</v>
      </c>
      <c r="S15" s="154"/>
      <c r="T15" s="288">
        <f t="shared" si="0"/>
        <v>2.1109180361341418</v>
      </c>
    </row>
    <row r="16" spans="1:21" x14ac:dyDescent="0.25">
      <c r="A16" s="12" t="s">
        <v>31</v>
      </c>
      <c r="B16" s="226">
        <f>+[5]Samfat!B17</f>
        <v>0</v>
      </c>
      <c r="C16" s="154">
        <f>+[5]Samfat!C17</f>
        <v>0</v>
      </c>
      <c r="D16" s="154">
        <f>+[5]Samfat!D17</f>
        <v>0.10375831446472253</v>
      </c>
      <c r="E16" s="154">
        <f>+[5]Samfat!E17</f>
        <v>0</v>
      </c>
      <c r="F16" s="154">
        <f>+[5]Samfat!F17</f>
        <v>0</v>
      </c>
      <c r="G16" s="154">
        <f>+[5]Samfat!G17</f>
        <v>0</v>
      </c>
      <c r="H16" s="154">
        <f>+[5]Samfat!H17</f>
        <v>0</v>
      </c>
      <c r="I16" s="508">
        <f>+[5]Samfat!I17</f>
        <v>0</v>
      </c>
      <c r="J16" s="154">
        <f>+[5]Samfat!J17</f>
        <v>0.85146237344390796</v>
      </c>
      <c r="K16" s="154">
        <f>+[5]Samfat!K17</f>
        <v>1.2548442940866229</v>
      </c>
      <c r="L16" s="154">
        <f>+[5]Samfat!L17</f>
        <v>5.9356455500086387</v>
      </c>
      <c r="M16" s="154">
        <f>+[5]Samfat!M17</f>
        <v>13.547206904865831</v>
      </c>
      <c r="N16" s="154">
        <f>+[5]Samfat!N17</f>
        <v>4.2051320857316972</v>
      </c>
      <c r="O16" s="508">
        <f>+[5]Samfat!O17</f>
        <v>19.682428308826871</v>
      </c>
      <c r="P16" s="226">
        <f>+[5]Samfat!P17</f>
        <v>9.6586551782329035</v>
      </c>
      <c r="Q16" s="154">
        <f>+[5]Samfat!Q17</f>
        <v>4.8583402569272733</v>
      </c>
      <c r="R16" s="154">
        <f>+[5]Samfat!R17</f>
        <v>27.863294250302356</v>
      </c>
      <c r="S16" s="154"/>
      <c r="T16" s="288">
        <f t="shared" si="0"/>
        <v>87.960767516890826</v>
      </c>
    </row>
    <row r="17" spans="1:21" x14ac:dyDescent="0.25">
      <c r="A17" s="113" t="s">
        <v>32</v>
      </c>
      <c r="B17" s="225">
        <f>+[5]Samfat!B18</f>
        <v>0</v>
      </c>
      <c r="C17" s="157">
        <f>+[5]Samfat!C18</f>
        <v>0</v>
      </c>
      <c r="D17" s="1012">
        <f>+[5]Samfat!D18</f>
        <v>0.82433400000000001</v>
      </c>
      <c r="E17" s="157">
        <f>+[5]Samfat!E18</f>
        <v>0</v>
      </c>
      <c r="F17" s="157">
        <f>+[5]Samfat!F18</f>
        <v>0</v>
      </c>
      <c r="G17" s="157">
        <f>+[5]Samfat!G18</f>
        <v>0</v>
      </c>
      <c r="H17" s="157">
        <f>+[5]Samfat!H18</f>
        <v>0</v>
      </c>
      <c r="I17" s="505">
        <f>+[5]Samfat!I18</f>
        <v>0</v>
      </c>
      <c r="J17" s="157">
        <f>+[5]Samfat!J18</f>
        <v>0.72310000000000008</v>
      </c>
      <c r="K17" s="157">
        <f>+[5]Samfat!K18</f>
        <v>0.72310000000000008</v>
      </c>
      <c r="L17" s="157">
        <f>+[5]Samfat!L18</f>
        <v>0</v>
      </c>
      <c r="M17" s="157">
        <f>+[5]Samfat!M18</f>
        <v>0</v>
      </c>
      <c r="N17" s="157">
        <f>+[5]Samfat!N18</f>
        <v>0</v>
      </c>
      <c r="O17" s="505">
        <f>+[5]Samfat!O18</f>
        <v>0</v>
      </c>
      <c r="P17" s="225">
        <f>+[5]Samfat!P18</f>
        <v>0</v>
      </c>
      <c r="Q17" s="157">
        <f>+[5]Samfat!Q18</f>
        <v>0</v>
      </c>
      <c r="R17" s="157">
        <f>+[5]Samfat!R18</f>
        <v>1.30158</v>
      </c>
      <c r="S17" s="157"/>
      <c r="T17" s="289">
        <f t="shared" si="0"/>
        <v>3.572114</v>
      </c>
    </row>
    <row r="18" spans="1:21" x14ac:dyDescent="0.25">
      <c r="A18" s="284" t="s">
        <v>35</v>
      </c>
      <c r="B18" s="384">
        <f>+[5]Samfat!B19</f>
        <v>17.837999999999997</v>
      </c>
      <c r="C18" s="383">
        <f>+[5]Samfat!C19</f>
        <v>7.1520000000000001</v>
      </c>
      <c r="D18" s="383">
        <f>+[5]Samfat!D19</f>
        <v>7.3874999999999993</v>
      </c>
      <c r="E18" s="383">
        <f>+[5]Samfat!E19</f>
        <v>2.16</v>
      </c>
      <c r="F18" s="383">
        <f>+[5]Samfat!F19</f>
        <v>0.16000000000000003</v>
      </c>
      <c r="G18" s="383">
        <f>+[5]Samfat!G19</f>
        <v>13.384</v>
      </c>
      <c r="H18" s="383">
        <f>+[5]Samfat!H19</f>
        <v>2.3235000000000001</v>
      </c>
      <c r="I18" s="509">
        <f>+[5]Samfat!I19</f>
        <v>2.2364999999999999</v>
      </c>
      <c r="J18" s="383">
        <f>+[5]Samfat!J19</f>
        <v>0</v>
      </c>
      <c r="K18" s="383">
        <f>+[5]Samfat!K19</f>
        <v>0</v>
      </c>
      <c r="L18" s="383">
        <f>+[5]Samfat!L19</f>
        <v>0</v>
      </c>
      <c r="M18" s="383">
        <f>+[5]Samfat!M19</f>
        <v>0</v>
      </c>
      <c r="N18" s="383">
        <f>+[5]Samfat!N19</f>
        <v>0</v>
      </c>
      <c r="O18" s="509">
        <f>+[5]Samfat!O19</f>
        <v>0</v>
      </c>
      <c r="P18" s="384">
        <f>+[5]Samfat!P19</f>
        <v>0</v>
      </c>
      <c r="Q18" s="383">
        <f>+[5]Samfat!Q19</f>
        <v>0</v>
      </c>
      <c r="R18" s="383">
        <f>+[5]Samfat!R19</f>
        <v>0</v>
      </c>
      <c r="S18" s="383"/>
      <c r="T18" s="291">
        <f t="shared" si="0"/>
        <v>52.641499999999994</v>
      </c>
    </row>
    <row r="19" spans="1:21" ht="15.75" thickBot="1" x14ac:dyDescent="0.3">
      <c r="A19" s="243" t="s">
        <v>33</v>
      </c>
      <c r="B19" s="245">
        <f>SUM(B6:B18)</f>
        <v>17.837999999999997</v>
      </c>
      <c r="C19" s="244">
        <f t="shared" ref="C19:F19" si="1">SUM(C6:C18)</f>
        <v>7.2507037425117504</v>
      </c>
      <c r="D19" s="244">
        <f t="shared" si="1"/>
        <v>11.304563101622151</v>
      </c>
      <c r="E19" s="244">
        <f t="shared" si="1"/>
        <v>2.16</v>
      </c>
      <c r="F19" s="244">
        <f t="shared" si="1"/>
        <v>0.34884156518800002</v>
      </c>
      <c r="G19" s="244">
        <f t="shared" ref="G19:R19" si="2">SUM(G6:G18)</f>
        <v>13.384</v>
      </c>
      <c r="H19" s="244">
        <f t="shared" si="2"/>
        <v>2.3235000000000001</v>
      </c>
      <c r="I19" s="244">
        <f t="shared" si="2"/>
        <v>4.196544134389308</v>
      </c>
      <c r="J19" s="245">
        <f t="shared" si="2"/>
        <v>2.4904110044533856</v>
      </c>
      <c r="K19" s="244">
        <f t="shared" si="2"/>
        <v>7.3005081352809871</v>
      </c>
      <c r="L19" s="244">
        <f t="shared" si="2"/>
        <v>8.2907993523882695</v>
      </c>
      <c r="M19" s="244">
        <f t="shared" si="2"/>
        <v>14.916058940714299</v>
      </c>
      <c r="N19" s="244">
        <f t="shared" si="2"/>
        <v>4.2051320857316972</v>
      </c>
      <c r="O19" s="244">
        <f t="shared" si="2"/>
        <v>20.896817509743151</v>
      </c>
      <c r="P19" s="245">
        <f t="shared" si="2"/>
        <v>98.171403248430892</v>
      </c>
      <c r="Q19" s="244">
        <f t="shared" si="2"/>
        <v>100.11988127479199</v>
      </c>
      <c r="R19" s="244">
        <f t="shared" si="2"/>
        <v>98.895283479911939</v>
      </c>
      <c r="S19" s="244"/>
      <c r="T19" s="290">
        <f>SUM(T6:T18)</f>
        <v>414.09244757515785</v>
      </c>
    </row>
    <row r="22" spans="1:21" x14ac:dyDescent="0.25">
      <c r="A22" s="512" t="s">
        <v>36</v>
      </c>
      <c r="B22" s="512"/>
      <c r="C22" s="512"/>
      <c r="D22" s="512"/>
      <c r="E22" s="512"/>
      <c r="F22" s="512"/>
      <c r="G22" s="512"/>
      <c r="H22" s="512"/>
      <c r="I22" s="512"/>
      <c r="J22" s="512"/>
      <c r="K22" s="512"/>
      <c r="L22" s="512"/>
      <c r="M22" s="512"/>
      <c r="N22" s="512"/>
      <c r="O22" s="512"/>
      <c r="P22" s="512"/>
      <c r="Q22" s="512"/>
      <c r="R22" s="512"/>
      <c r="S22" s="512"/>
      <c r="T22" s="512"/>
      <c r="U22" t="s">
        <v>242</v>
      </c>
    </row>
    <row r="23" spans="1:21" x14ac:dyDescent="0.25">
      <c r="A23" s="512" t="s">
        <v>219</v>
      </c>
      <c r="B23" s="513">
        <f>+SUM(B9:B12)</f>
        <v>0</v>
      </c>
      <c r="C23" s="513">
        <f t="shared" ref="C23:O23" si="3">+SUM(C9:C12)</f>
        <v>9.8703742511750708E-2</v>
      </c>
      <c r="D23" s="513">
        <f t="shared" si="3"/>
        <v>0</v>
      </c>
      <c r="E23" s="513">
        <f t="shared" si="3"/>
        <v>0</v>
      </c>
      <c r="F23" s="513">
        <f t="shared" si="3"/>
        <v>0</v>
      </c>
      <c r="G23" s="513">
        <f t="shared" si="3"/>
        <v>0</v>
      </c>
      <c r="H23" s="513">
        <f t="shared" si="3"/>
        <v>0</v>
      </c>
      <c r="I23" s="513">
        <f t="shared" si="3"/>
        <v>0</v>
      </c>
      <c r="J23" s="513">
        <f t="shared" si="3"/>
        <v>0</v>
      </c>
      <c r="K23" s="513">
        <f t="shared" si="3"/>
        <v>0</v>
      </c>
      <c r="L23" s="513">
        <f t="shared" si="3"/>
        <v>1.2492658725380419</v>
      </c>
      <c r="M23" s="513">
        <f t="shared" si="3"/>
        <v>1.368852035848467</v>
      </c>
      <c r="N23" s="513">
        <f t="shared" si="3"/>
        <v>0</v>
      </c>
      <c r="O23" s="513">
        <f t="shared" si="3"/>
        <v>1.2143892009162802</v>
      </c>
      <c r="P23" s="513">
        <f>+SUM(P9:P12)</f>
        <v>13.587994346998322</v>
      </c>
      <c r="Q23" s="513">
        <f>+SUM(Q9:Q12)</f>
        <v>29.017488998240403</v>
      </c>
      <c r="R23" s="513">
        <f>+SUM(R9:R12)</f>
        <v>33.263706394195452</v>
      </c>
      <c r="S23" s="512"/>
      <c r="T23" s="513">
        <f>+SUM(T9:T12)</f>
        <v>79.800400591248717</v>
      </c>
    </row>
    <row r="24" spans="1:21" x14ac:dyDescent="0.25">
      <c r="A24" s="512"/>
      <c r="B24" s="512"/>
      <c r="C24" s="512"/>
      <c r="D24" s="512"/>
      <c r="E24" s="512"/>
      <c r="F24" s="512"/>
      <c r="G24" s="512"/>
      <c r="H24" s="512"/>
      <c r="I24" s="512"/>
      <c r="J24" s="512"/>
      <c r="K24" s="512"/>
      <c r="L24" s="512"/>
      <c r="M24" s="512"/>
      <c r="N24" s="512"/>
      <c r="O24" s="512"/>
      <c r="P24" s="512"/>
      <c r="Q24" s="512"/>
      <c r="R24" s="512"/>
      <c r="S24" s="512"/>
      <c r="T24" s="513"/>
    </row>
    <row r="25" spans="1:21" x14ac:dyDescent="0.25">
      <c r="A25" s="512"/>
      <c r="B25" s="512"/>
      <c r="C25" s="512"/>
      <c r="D25" s="512"/>
      <c r="E25" s="512"/>
      <c r="F25" s="512"/>
      <c r="G25" s="512"/>
      <c r="H25" s="512"/>
      <c r="I25" s="512"/>
      <c r="J25" s="512"/>
      <c r="K25" s="512"/>
      <c r="L25" s="512"/>
      <c r="M25" s="512"/>
      <c r="N25" s="512"/>
      <c r="O25" s="512"/>
      <c r="P25" s="512"/>
      <c r="Q25" s="513">
        <f>+P23+Q23</f>
        <v>42.605483345238724</v>
      </c>
      <c r="R25" s="512"/>
      <c r="S25" s="512"/>
      <c r="T25" s="512"/>
    </row>
  </sheetData>
  <mergeCells count="1">
    <mergeCell ref="J4:O4"/>
  </mergeCells>
  <pageMargins left="0.70866141732283472" right="0.70866141732283472" top="0.74803149606299213" bottom="0.74803149606299213" header="0.31496062992125984" footer="0.31496062992125984"/>
  <pageSetup paperSize="8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14"/>
  <sheetViews>
    <sheetView topLeftCell="A43" zoomScale="80" zoomScaleNormal="80" workbookViewId="0">
      <selection activeCell="K65" sqref="K65"/>
    </sheetView>
  </sheetViews>
  <sheetFormatPr defaultRowHeight="15" x14ac:dyDescent="0.25"/>
  <cols>
    <col min="1" max="1" width="44.5703125" customWidth="1"/>
    <col min="2" max="4" width="9.7109375" customWidth="1"/>
    <col min="5" max="5" width="11" customWidth="1"/>
    <col min="6" max="6" width="10.140625" customWidth="1"/>
    <col min="7" max="7" width="9.42578125" customWidth="1"/>
    <col min="8" max="8" width="9.5703125" bestFit="1" customWidth="1"/>
    <col min="9" max="9" width="9.42578125" customWidth="1"/>
    <col min="10" max="10" width="9.7109375" customWidth="1"/>
    <col min="11" max="11" width="9.5703125" customWidth="1"/>
    <col min="12" max="12" width="10.28515625" customWidth="1"/>
    <col min="17" max="17" width="9.85546875" customWidth="1"/>
    <col min="18" max="18" width="9.5703125" customWidth="1"/>
    <col min="20" max="20" width="9.85546875" customWidth="1"/>
  </cols>
  <sheetData>
    <row r="1" spans="1:21" ht="18.75" x14ac:dyDescent="0.3">
      <c r="A1" s="6" t="s">
        <v>106</v>
      </c>
    </row>
    <row r="2" spans="1:21" ht="18.75" x14ac:dyDescent="0.3">
      <c r="A2" s="6"/>
      <c r="B2">
        <f>+'Øvr forudsæt'!C63</f>
        <v>2035</v>
      </c>
      <c r="C2">
        <f>+'Øvr forudsæt'!D63</f>
        <v>2050</v>
      </c>
    </row>
    <row r="3" spans="1:21" x14ac:dyDescent="0.25">
      <c r="A3" t="s">
        <v>308</v>
      </c>
      <c r="B3">
        <f>+'Øvr forudsæt'!C65</f>
        <v>24</v>
      </c>
      <c r="C3">
        <f>+'Øvr forudsæt'!D65</f>
        <v>39</v>
      </c>
      <c r="D3" t="s">
        <v>353</v>
      </c>
    </row>
    <row r="4" spans="1:21" x14ac:dyDescent="0.25">
      <c r="A4" t="s">
        <v>216</v>
      </c>
    </row>
    <row r="5" spans="1:21" x14ac:dyDescent="0.25">
      <c r="P5" s="18"/>
      <c r="Q5" s="18"/>
      <c r="R5" s="18"/>
      <c r="S5" s="18"/>
      <c r="T5" s="18"/>
    </row>
    <row r="6" spans="1:21" ht="19.5" thickBot="1" x14ac:dyDescent="0.35">
      <c r="A6" s="6" t="s">
        <v>66</v>
      </c>
      <c r="P6" s="17"/>
      <c r="Q6" s="18"/>
      <c r="R6" s="18"/>
      <c r="S6" s="18"/>
      <c r="T6" s="18"/>
    </row>
    <row r="7" spans="1:21" ht="16.5" thickBot="1" x14ac:dyDescent="0.3">
      <c r="F7" s="390" t="s">
        <v>64</v>
      </c>
      <c r="G7" s="25"/>
      <c r="H7" s="25"/>
      <c r="I7" s="25"/>
      <c r="J7" s="25"/>
      <c r="K7" s="25"/>
      <c r="L7" s="25"/>
      <c r="M7" s="26"/>
      <c r="P7" s="18"/>
      <c r="Q7" s="18"/>
      <c r="R7" s="18"/>
      <c r="S7" s="18"/>
      <c r="T7" s="18"/>
    </row>
    <row r="8" spans="1:21" ht="15.75" x14ac:dyDescent="0.25">
      <c r="A8" s="389" t="s">
        <v>57</v>
      </c>
      <c r="B8" s="25"/>
      <c r="C8" s="25"/>
      <c r="D8" s="26"/>
      <c r="F8" s="27" t="s">
        <v>63</v>
      </c>
      <c r="G8" s="18"/>
      <c r="H8" s="18"/>
      <c r="I8" s="18"/>
      <c r="J8" s="18"/>
      <c r="K8" s="849" t="s">
        <v>304</v>
      </c>
      <c r="L8" s="18"/>
      <c r="M8" s="850" t="s">
        <v>305</v>
      </c>
      <c r="P8" s="17"/>
      <c r="Q8" s="18"/>
      <c r="R8" s="17"/>
      <c r="S8" s="17"/>
      <c r="T8" s="17"/>
    </row>
    <row r="9" spans="1:21" x14ac:dyDescent="0.25">
      <c r="A9" s="29"/>
      <c r="B9" s="11">
        <v>2011</v>
      </c>
      <c r="C9" s="11">
        <f>+B2</f>
        <v>2035</v>
      </c>
      <c r="D9" s="36">
        <f>+C2</f>
        <v>2050</v>
      </c>
      <c r="E9" s="17"/>
      <c r="F9" s="29"/>
      <c r="G9" s="11"/>
      <c r="H9" s="11" t="s">
        <v>280</v>
      </c>
      <c r="I9" s="11" t="s">
        <v>58</v>
      </c>
      <c r="J9" s="11" t="s">
        <v>281</v>
      </c>
      <c r="K9" s="354">
        <v>2035</v>
      </c>
      <c r="L9" s="11" t="s">
        <v>282</v>
      </c>
      <c r="M9" s="575">
        <v>2050</v>
      </c>
      <c r="P9" s="17"/>
      <c r="Q9" s="18"/>
      <c r="R9" s="16"/>
      <c r="S9" s="16"/>
      <c r="T9" s="16"/>
    </row>
    <row r="10" spans="1:21" x14ac:dyDescent="0.25">
      <c r="A10" s="708" t="s">
        <v>297</v>
      </c>
      <c r="B10" s="20"/>
      <c r="C10" s="20"/>
      <c r="D10" s="37"/>
      <c r="E10" s="20"/>
      <c r="F10" s="31" t="s">
        <v>59</v>
      </c>
      <c r="G10" s="20"/>
      <c r="H10" s="20">
        <f>+C15</f>
        <v>1.8808902730769212</v>
      </c>
      <c r="I10" s="20">
        <f>+C15</f>
        <v>1.8808902730769212</v>
      </c>
      <c r="J10" s="20">
        <f>+C15</f>
        <v>1.8808902730769212</v>
      </c>
      <c r="K10" s="43">
        <f>+H10*H13+I10*I13+J10*J13</f>
        <v>45.141366553846112</v>
      </c>
      <c r="L10" s="20">
        <f>+D15</f>
        <v>1.8088219803742249</v>
      </c>
      <c r="M10" s="141">
        <f>+K10+L10*L13</f>
        <v>72.273696259459484</v>
      </c>
      <c r="N10" s="17"/>
      <c r="O10" s="17"/>
      <c r="P10" s="17"/>
      <c r="Q10" s="18"/>
      <c r="R10" s="381"/>
      <c r="S10" s="381"/>
      <c r="T10" s="381"/>
      <c r="U10" s="18"/>
    </row>
    <row r="11" spans="1:21" x14ac:dyDescent="0.25">
      <c r="A11" s="12" t="s">
        <v>298</v>
      </c>
      <c r="B11" s="43">
        <f>+'E-tjen-oversigt'!R24</f>
        <v>215.09626410873781</v>
      </c>
      <c r="C11" s="43">
        <f>+'E-tjen-oversigt'!S24</f>
        <v>249.48281745714704</v>
      </c>
      <c r="D11" s="141">
        <f>+'E-tjen-oversigt'!T24</f>
        <v>265.86033395732352</v>
      </c>
      <c r="E11" s="20"/>
      <c r="F11" s="29" t="s">
        <v>60</v>
      </c>
      <c r="G11" s="22"/>
      <c r="H11" s="22">
        <f>+C21</f>
        <v>0.76362563076923162</v>
      </c>
      <c r="I11" s="22">
        <f>+C21</f>
        <v>0.76362563076923162</v>
      </c>
      <c r="J11" s="22">
        <f>+C21</f>
        <v>0.76362563076923162</v>
      </c>
      <c r="K11" s="323">
        <f>+H11*H13+I11*I13+J11*J13</f>
        <v>18.327015138461558</v>
      </c>
      <c r="L11" s="22">
        <f>+D21</f>
        <v>1.3102217511295888</v>
      </c>
      <c r="M11" s="142">
        <f>+K11+L11*L13</f>
        <v>37.98034140540539</v>
      </c>
      <c r="N11" s="18"/>
      <c r="O11" s="43"/>
      <c r="P11" s="670"/>
      <c r="Q11" s="18"/>
      <c r="R11" s="381"/>
      <c r="S11" s="381"/>
      <c r="T11" s="381"/>
      <c r="U11" s="18"/>
    </row>
    <row r="12" spans="1:21" x14ac:dyDescent="0.25">
      <c r="A12" s="12" t="s">
        <v>299</v>
      </c>
      <c r="B12" s="857"/>
      <c r="C12" s="43">
        <f>+C11-$B$11</f>
        <v>34.386553348409223</v>
      </c>
      <c r="D12" s="141">
        <f>+D11-$B$11</f>
        <v>50.764069848585706</v>
      </c>
      <c r="E12" s="20"/>
      <c r="F12" s="27" t="s">
        <v>34</v>
      </c>
      <c r="G12" s="20"/>
      <c r="H12" s="20">
        <f t="shared" ref="H12:J12" si="0">+H10+H11</f>
        <v>2.6445159038461528</v>
      </c>
      <c r="I12" s="20">
        <f t="shared" si="0"/>
        <v>2.6445159038461528</v>
      </c>
      <c r="J12" s="20">
        <f t="shared" si="0"/>
        <v>2.6445159038461528</v>
      </c>
      <c r="K12" s="43"/>
      <c r="L12" s="20">
        <f>+L10+L11</f>
        <v>3.1190437315038135</v>
      </c>
      <c r="M12" s="141">
        <f>SUM(M10:M11)</f>
        <v>110.25403766486488</v>
      </c>
      <c r="O12" s="57"/>
      <c r="P12" s="382"/>
      <c r="Q12" s="21"/>
      <c r="R12" s="112"/>
      <c r="S12" s="112"/>
      <c r="T12" s="21"/>
    </row>
    <row r="13" spans="1:21" x14ac:dyDescent="0.25">
      <c r="A13" s="12" t="s">
        <v>300</v>
      </c>
      <c r="B13" s="857"/>
      <c r="C13" s="43">
        <f>+$B$11*'Øvr forudsæt'!C14</f>
        <v>10.754813205436891</v>
      </c>
      <c r="D13" s="141">
        <f>+$B$11*'Øvr forudsæt'!D14</f>
        <v>21.509626410873782</v>
      </c>
      <c r="E13" s="16"/>
      <c r="F13" s="12" t="s">
        <v>217</v>
      </c>
      <c r="G13" s="14"/>
      <c r="H13" s="18">
        <v>4</v>
      </c>
      <c r="I13" s="18">
        <v>5</v>
      </c>
      <c r="J13" s="21">
        <v>15</v>
      </c>
      <c r="K13" s="43">
        <f>+H13+I13+J13</f>
        <v>24</v>
      </c>
      <c r="L13" s="21">
        <v>15</v>
      </c>
      <c r="M13" s="141">
        <f>+K13+L13</f>
        <v>39</v>
      </c>
      <c r="O13" s="57"/>
      <c r="P13" s="382"/>
      <c r="Q13" s="21"/>
      <c r="R13" s="112"/>
      <c r="S13" s="112"/>
      <c r="T13" s="21"/>
    </row>
    <row r="14" spans="1:21" x14ac:dyDescent="0.25">
      <c r="A14" s="12" t="s">
        <v>301</v>
      </c>
      <c r="B14" s="857"/>
      <c r="C14" s="43">
        <f>+C12+C13</f>
        <v>45.141366553846112</v>
      </c>
      <c r="D14" s="141">
        <f>+D12+D13</f>
        <v>72.273696259459484</v>
      </c>
      <c r="E14" s="20"/>
      <c r="F14" s="30" t="s">
        <v>65</v>
      </c>
      <c r="G14" s="19"/>
      <c r="H14" s="5"/>
      <c r="I14" s="5"/>
      <c r="J14" s="5"/>
      <c r="K14" s="5"/>
      <c r="L14" s="5"/>
      <c r="M14" s="32"/>
      <c r="O14" s="57"/>
    </row>
    <row r="15" spans="1:21" ht="15.75" customHeight="1" x14ac:dyDescent="0.25">
      <c r="A15" s="12" t="s">
        <v>61</v>
      </c>
      <c r="B15" s="857"/>
      <c r="C15" s="41">
        <f>+C14/(C9-B9)</f>
        <v>1.8808902730769212</v>
      </c>
      <c r="D15" s="44">
        <f>+(D14-C14)/(D9-C9)</f>
        <v>1.8088219803742249</v>
      </c>
      <c r="E15" s="20"/>
      <c r="F15" s="391" t="s">
        <v>176</v>
      </c>
      <c r="G15" s="18"/>
      <c r="H15" s="18"/>
      <c r="I15" s="18"/>
      <c r="J15" s="18"/>
      <c r="K15" s="18"/>
      <c r="L15" s="18"/>
      <c r="M15" s="28"/>
    </row>
    <row r="16" spans="1:21" ht="15.75" customHeight="1" x14ac:dyDescent="0.25">
      <c r="A16" s="708" t="s">
        <v>302</v>
      </c>
      <c r="B16" s="18"/>
      <c r="C16" s="18"/>
      <c r="D16" s="28"/>
      <c r="E16" s="20"/>
      <c r="F16" s="31" t="s">
        <v>59</v>
      </c>
      <c r="G16" s="18"/>
      <c r="H16" s="43">
        <f>+'Øvr forudsæt'!$E$35</f>
        <v>18.333333333333332</v>
      </c>
      <c r="I16" s="43">
        <f>+'Øvr forudsæt'!$E$35</f>
        <v>18.333333333333332</v>
      </c>
      <c r="J16" s="43">
        <f>+'Øvr forudsæt'!$E$35</f>
        <v>18.333333333333332</v>
      </c>
      <c r="K16" s="43"/>
      <c r="L16" s="43">
        <f>+'Øvr forudsæt'!$E$35</f>
        <v>18.333333333333332</v>
      </c>
      <c r="M16" s="141"/>
    </row>
    <row r="17" spans="1:13" ht="15.75" customHeight="1" x14ac:dyDescent="0.25">
      <c r="A17" s="12" t="s">
        <v>298</v>
      </c>
      <c r="B17" s="320">
        <f>+'E-tjen-oversigt'!R31</f>
        <v>87.856220551456289</v>
      </c>
      <c r="C17" s="320">
        <f>+'E-tjen-oversigt'!S31</f>
        <v>101.79042466234503</v>
      </c>
      <c r="D17" s="709">
        <f>+'E-tjen-oversigt'!T31</f>
        <v>117.05093990171605</v>
      </c>
      <c r="E17" s="20"/>
      <c r="F17" s="29" t="s">
        <v>60</v>
      </c>
      <c r="G17" s="18"/>
      <c r="H17" s="43">
        <f>+'Øvr forudsæt'!$E$35</f>
        <v>18.333333333333332</v>
      </c>
      <c r="I17" s="43">
        <f>+'Øvr forudsæt'!$E$35</f>
        <v>18.333333333333332</v>
      </c>
      <c r="J17" s="43">
        <f>+'Øvr forudsæt'!$E$35</f>
        <v>18.333333333333332</v>
      </c>
      <c r="K17" s="43"/>
      <c r="L17" s="43">
        <f>+'Øvr forudsæt'!$E$35</f>
        <v>18.333333333333332</v>
      </c>
      <c r="M17" s="141"/>
    </row>
    <row r="18" spans="1:13" ht="15.75" customHeight="1" x14ac:dyDescent="0.25">
      <c r="A18" s="12" t="s">
        <v>299</v>
      </c>
      <c r="B18" s="626"/>
      <c r="C18" s="23">
        <f>+C17-$B$17</f>
        <v>13.934204110888743</v>
      </c>
      <c r="D18" s="855">
        <f>+D17-$B$17</f>
        <v>29.19471935025976</v>
      </c>
      <c r="E18" s="20"/>
      <c r="F18" s="391" t="s">
        <v>92</v>
      </c>
      <c r="G18" s="18"/>
      <c r="H18" s="18"/>
      <c r="I18" s="18"/>
      <c r="J18" s="18"/>
      <c r="K18" s="18"/>
      <c r="L18" s="18"/>
      <c r="M18" s="28"/>
    </row>
    <row r="19" spans="1:13" ht="15.75" customHeight="1" x14ac:dyDescent="0.25">
      <c r="A19" s="12" t="s">
        <v>300</v>
      </c>
      <c r="B19" s="626"/>
      <c r="C19" s="20">
        <f>+$B$17*'Øvr forudsæt'!C15</f>
        <v>4.3928110275728143</v>
      </c>
      <c r="D19" s="37">
        <f>+$B$17*'Øvr forudsæt'!D15</f>
        <v>8.7856220551456286</v>
      </c>
      <c r="E19" s="20"/>
      <c r="F19" s="31" t="s">
        <v>59</v>
      </c>
      <c r="G19" s="58"/>
      <c r="H19" s="58">
        <f>+'Øvr forudsæt'!E35</f>
        <v>18.333333333333332</v>
      </c>
      <c r="I19" s="58">
        <f>+'Øvr forudsæt'!F35</f>
        <v>10.694444444444445</v>
      </c>
      <c r="J19" s="58">
        <f>+'Øvr forudsæt'!G35</f>
        <v>6.1111111111111107</v>
      </c>
      <c r="K19" s="18"/>
      <c r="L19" s="58">
        <f>+'Øvr forudsæt'!G35</f>
        <v>6.1111111111111107</v>
      </c>
      <c r="M19" s="28"/>
    </row>
    <row r="20" spans="1:13" ht="15.75" customHeight="1" x14ac:dyDescent="0.25">
      <c r="A20" s="12" t="s">
        <v>301</v>
      </c>
      <c r="B20" s="624"/>
      <c r="C20" s="662">
        <f>+C18+C19</f>
        <v>18.327015138461558</v>
      </c>
      <c r="D20" s="860">
        <f>+D18+D19</f>
        <v>37.98034140540539</v>
      </c>
      <c r="E20" s="20"/>
      <c r="F20" s="29" t="s">
        <v>60</v>
      </c>
      <c r="G20" s="59"/>
      <c r="H20" s="59">
        <f>+'Øvr forudsæt'!E35</f>
        <v>18.333333333333332</v>
      </c>
      <c r="I20" s="59">
        <f>+'Øvr forudsæt'!F35</f>
        <v>10.694444444444445</v>
      </c>
      <c r="J20" s="59">
        <f>+'Øvr forudsæt'!G35</f>
        <v>6.1111111111111107</v>
      </c>
      <c r="K20" s="5"/>
      <c r="L20" s="59">
        <f>+'Øvr forudsæt'!G35</f>
        <v>6.1111111111111107</v>
      </c>
      <c r="M20" s="32"/>
    </row>
    <row r="21" spans="1:13" ht="15.75" customHeight="1" x14ac:dyDescent="0.25">
      <c r="A21" s="12" t="s">
        <v>61</v>
      </c>
      <c r="B21" s="626"/>
      <c r="C21" s="20">
        <f>+C20/(C9-B9)</f>
        <v>0.76362563076923162</v>
      </c>
      <c r="D21" s="37">
        <f>+(D20-C20)/(D9-C9)</f>
        <v>1.3102217511295888</v>
      </c>
      <c r="E21" s="20"/>
      <c r="F21" s="392" t="s">
        <v>214</v>
      </c>
      <c r="G21" s="58"/>
      <c r="H21" s="58"/>
      <c r="I21" s="58"/>
      <c r="J21" s="58"/>
      <c r="K21" s="18"/>
      <c r="L21" s="58"/>
      <c r="M21" s="28"/>
    </row>
    <row r="22" spans="1:13" ht="15.75" customHeight="1" thickBot="1" x14ac:dyDescent="0.3">
      <c r="A22" s="38"/>
      <c r="B22" s="39"/>
      <c r="C22" s="39"/>
      <c r="D22" s="40"/>
      <c r="E22" s="20"/>
      <c r="F22" s="31" t="s">
        <v>59</v>
      </c>
      <c r="G22" s="58"/>
      <c r="H22" s="58">
        <f>+'Øvr forudsæt'!E40</f>
        <v>18.333333333333332</v>
      </c>
      <c r="I22" s="58">
        <f>+'Øvr forudsæt'!F40</f>
        <v>10.694444444444445</v>
      </c>
      <c r="J22" s="58">
        <f>+'Øvr forudsæt'!G40</f>
        <v>6.1111111111111107</v>
      </c>
      <c r="K22" s="18"/>
      <c r="L22" s="58">
        <f>+'Øvr forudsæt'!G40</f>
        <v>6.1111111111111107</v>
      </c>
      <c r="M22" s="28"/>
    </row>
    <row r="23" spans="1:13" ht="15.75" customHeight="1" thickBot="1" x14ac:dyDescent="0.3">
      <c r="A23" s="21"/>
      <c r="B23" s="20"/>
      <c r="C23" s="20"/>
      <c r="D23" s="20"/>
      <c r="E23" s="20"/>
      <c r="F23" s="29" t="s">
        <v>60</v>
      </c>
      <c r="G23" s="59"/>
      <c r="H23" s="59">
        <f>+'Øvr forudsæt'!E40</f>
        <v>18.333333333333332</v>
      </c>
      <c r="I23" s="59">
        <f>+'Øvr forudsæt'!F40</f>
        <v>10.694444444444445</v>
      </c>
      <c r="J23" s="59">
        <f>+'Øvr forudsæt'!G40</f>
        <v>6.1111111111111107</v>
      </c>
      <c r="K23" s="5"/>
      <c r="L23" s="59">
        <f>+'Øvr forudsæt'!G40</f>
        <v>6.1111111111111107</v>
      </c>
      <c r="M23" s="32"/>
    </row>
    <row r="24" spans="1:13" ht="15.75" customHeight="1" x14ac:dyDescent="0.25">
      <c r="A24" s="390" t="s">
        <v>68</v>
      </c>
      <c r="B24" s="50"/>
      <c r="C24" s="50"/>
      <c r="D24" s="51"/>
      <c r="E24" s="20"/>
      <c r="F24" s="31"/>
      <c r="G24" s="18"/>
      <c r="H24" s="18"/>
      <c r="I24" s="18"/>
      <c r="J24" s="18"/>
      <c r="K24" s="18"/>
      <c r="L24" s="18"/>
      <c r="M24" s="28"/>
    </row>
    <row r="25" spans="1:13" ht="15.75" customHeight="1" x14ac:dyDescent="0.25">
      <c r="A25" s="52"/>
      <c r="B25" s="11" t="s">
        <v>59</v>
      </c>
      <c r="C25" s="11" t="s">
        <v>60</v>
      </c>
      <c r="D25" s="36" t="s">
        <v>34</v>
      </c>
      <c r="E25" s="20"/>
      <c r="F25" s="30" t="s">
        <v>67</v>
      </c>
      <c r="G25" s="5"/>
      <c r="H25" s="5"/>
      <c r="I25" s="5"/>
      <c r="J25" s="5"/>
      <c r="K25" s="5">
        <v>2035</v>
      </c>
      <c r="L25" s="5"/>
      <c r="M25" s="48">
        <v>2050</v>
      </c>
    </row>
    <row r="26" spans="1:13" ht="15.75" customHeight="1" x14ac:dyDescent="0.25">
      <c r="A26" s="52" t="s">
        <v>243</v>
      </c>
      <c r="B26" s="20">
        <f>+'2011'!P7+'2011'!Q7</f>
        <v>101.41845547073666</v>
      </c>
      <c r="C26" s="20">
        <f>+'2011'!P8+'2011'!Q8</f>
        <v>39.566824768122082</v>
      </c>
      <c r="D26" s="37">
        <f>+B26+C26</f>
        <v>140.98528023885873</v>
      </c>
      <c r="E26" s="20"/>
      <c r="F26" s="391" t="s">
        <v>176</v>
      </c>
      <c r="G26" s="18"/>
      <c r="H26" s="18"/>
      <c r="I26" s="18"/>
      <c r="J26" s="18"/>
      <c r="K26" s="18"/>
      <c r="L26" s="18"/>
      <c r="M26" s="28"/>
    </row>
    <row r="27" spans="1:13" ht="15.75" customHeight="1" x14ac:dyDescent="0.25">
      <c r="A27" s="55" t="s">
        <v>244</v>
      </c>
      <c r="B27" s="22">
        <f>+B26/B11*100</f>
        <v>47.150263576621903</v>
      </c>
      <c r="C27" s="22">
        <f>+C26/B17*100</f>
        <v>45.035883082346217</v>
      </c>
      <c r="D27" s="56">
        <f>+D26/(B11+B17)*100</f>
        <v>46.537093233281951</v>
      </c>
      <c r="E27" s="20"/>
      <c r="F27" s="31" t="s">
        <v>59</v>
      </c>
      <c r="G27" s="18"/>
      <c r="H27" s="41">
        <f>+H16*H10*H$13/100</f>
        <v>1.3793195335897424</v>
      </c>
      <c r="I27" s="41">
        <f t="shared" ref="I27:L28" si="1">+I16*I10*I$13/100</f>
        <v>1.7241494169871776</v>
      </c>
      <c r="J27" s="41">
        <f t="shared" si="1"/>
        <v>5.1724482509615335</v>
      </c>
      <c r="K27" s="41">
        <f>SUM(H27:J27)</f>
        <v>8.2759172015384532</v>
      </c>
      <c r="L27" s="41">
        <f>+L16*L10*L$13/100</f>
        <v>4.9742604460291178</v>
      </c>
      <c r="M27" s="44">
        <f>+K27+L27</f>
        <v>13.250177647567572</v>
      </c>
    </row>
    <row r="28" spans="1:13" ht="15.75" customHeight="1" x14ac:dyDescent="0.25">
      <c r="A28" s="12"/>
      <c r="B28" s="18"/>
      <c r="C28" s="18"/>
      <c r="D28" s="28"/>
      <c r="E28" s="20"/>
      <c r="F28" s="29" t="s">
        <v>60</v>
      </c>
      <c r="G28" s="18"/>
      <c r="H28" s="41">
        <f>+H17*H11*H$13/100</f>
        <v>0.5599921292307698</v>
      </c>
      <c r="I28" s="41">
        <f t="shared" ref="I28:J28" si="2">+I17*I11*I$13/100</f>
        <v>0.69999016153846227</v>
      </c>
      <c r="J28" s="41">
        <f t="shared" si="2"/>
        <v>2.0999704846153868</v>
      </c>
      <c r="K28" s="41">
        <f>SUM(H28:J28)</f>
        <v>3.359952775384619</v>
      </c>
      <c r="L28" s="41">
        <f t="shared" si="1"/>
        <v>3.603109815606369</v>
      </c>
      <c r="M28" s="44">
        <f>+K28+L28</f>
        <v>6.9630625909909885</v>
      </c>
    </row>
    <row r="29" spans="1:13" ht="15.75" customHeight="1" x14ac:dyDescent="0.25">
      <c r="A29" s="62" t="s">
        <v>279</v>
      </c>
      <c r="B29" s="663">
        <f>+B9</f>
        <v>2011</v>
      </c>
      <c r="C29" s="663">
        <f>+C9</f>
        <v>2035</v>
      </c>
      <c r="D29" s="854">
        <f>+D9</f>
        <v>2050</v>
      </c>
      <c r="E29" s="20"/>
      <c r="F29" s="392" t="str">
        <f>+F18</f>
        <v>Reference:</v>
      </c>
      <c r="G29" s="18"/>
      <c r="H29" s="18"/>
      <c r="I29" s="18"/>
      <c r="J29" s="18"/>
      <c r="K29" s="18"/>
      <c r="L29" s="18"/>
      <c r="M29" s="28"/>
    </row>
    <row r="30" spans="1:13" ht="15.75" customHeight="1" x14ac:dyDescent="0.25">
      <c r="A30" s="708" t="s">
        <v>297</v>
      </c>
      <c r="B30" s="18"/>
      <c r="C30" s="18"/>
      <c r="D30" s="28"/>
      <c r="E30" s="20"/>
      <c r="F30" s="31" t="s">
        <v>59</v>
      </c>
      <c r="G30" s="41"/>
      <c r="H30" s="41">
        <f t="shared" ref="H30:J31" si="3">+H19*H10*H$13/100</f>
        <v>1.3793195335897424</v>
      </c>
      <c r="I30" s="41">
        <f t="shared" si="3"/>
        <v>1.0057538265758539</v>
      </c>
      <c r="J30" s="41">
        <f t="shared" si="3"/>
        <v>1.7241494169871776</v>
      </c>
      <c r="K30" s="41">
        <f>SUM(H30:J30)</f>
        <v>4.1092227771527741</v>
      </c>
      <c r="L30" s="41">
        <f>+L19*L10*L$13/100</f>
        <v>1.6580868153430395</v>
      </c>
      <c r="M30" s="44">
        <f>+K30+L30</f>
        <v>5.7673095924958133</v>
      </c>
    </row>
    <row r="31" spans="1:13" ht="15.75" customHeight="1" x14ac:dyDescent="0.25">
      <c r="A31" s="53" t="s">
        <v>178</v>
      </c>
      <c r="B31" s="43">
        <f>+B27</f>
        <v>47.150263576621903</v>
      </c>
      <c r="C31" s="43">
        <f>+B31</f>
        <v>47.150263576621903</v>
      </c>
      <c r="D31" s="141">
        <f>+B31</f>
        <v>47.150263576621903</v>
      </c>
      <c r="E31" s="20"/>
      <c r="F31" s="29" t="s">
        <v>60</v>
      </c>
      <c r="G31" s="42"/>
      <c r="H31" s="42">
        <f t="shared" si="3"/>
        <v>0.5599921292307698</v>
      </c>
      <c r="I31" s="42">
        <f t="shared" si="3"/>
        <v>0.4083275942307697</v>
      </c>
      <c r="J31" s="42">
        <f t="shared" si="3"/>
        <v>0.69999016153846227</v>
      </c>
      <c r="K31" s="42">
        <f t="shared" ref="K31:K32" si="4">SUM(H31:J31)</f>
        <v>1.6683098850000018</v>
      </c>
      <c r="L31" s="42">
        <f>+L20*L11*L$13/100</f>
        <v>1.2010366052021229</v>
      </c>
      <c r="M31" s="45">
        <f>+K31+L31</f>
        <v>2.8693464902021244</v>
      </c>
    </row>
    <row r="32" spans="1:13" ht="15.75" customHeight="1" x14ac:dyDescent="0.25">
      <c r="A32" s="53" t="s">
        <v>69</v>
      </c>
      <c r="B32" s="626"/>
      <c r="C32" s="23">
        <f>+$B$27*(1-Effektiviseringer!G8)</f>
        <v>39.870862057220549</v>
      </c>
      <c r="D32" s="855">
        <f>+$B$27*(1-Effektiviseringer!H8)</f>
        <v>34.761001144961469</v>
      </c>
      <c r="E32" s="16"/>
      <c r="F32" s="394" t="s">
        <v>34</v>
      </c>
      <c r="G32" s="393"/>
      <c r="H32" s="393">
        <f t="shared" ref="H32:J32" si="5">+H30+H31</f>
        <v>1.9393116628205123</v>
      </c>
      <c r="I32" s="393">
        <f t="shared" si="5"/>
        <v>1.4140814208066237</v>
      </c>
      <c r="J32" s="393">
        <f t="shared" si="5"/>
        <v>2.4241395785256401</v>
      </c>
      <c r="K32" s="393">
        <f t="shared" si="4"/>
        <v>5.7775326621527761</v>
      </c>
      <c r="L32" s="393">
        <f>+L30+L31</f>
        <v>2.8591234205451626</v>
      </c>
      <c r="M32" s="395">
        <f>+M30+M31</f>
        <v>8.6366560826979377</v>
      </c>
    </row>
    <row r="33" spans="1:17" ht="15.75" customHeight="1" x14ac:dyDescent="0.25">
      <c r="A33" s="53" t="s">
        <v>70</v>
      </c>
      <c r="B33" s="626"/>
      <c r="C33" s="23">
        <f>+$B$27*(1-Effektiviseringer!J8)</f>
        <v>37.889313895745161</v>
      </c>
      <c r="D33" s="855">
        <f>+$B$27*(1-Effektiviseringer!K8)</f>
        <v>31.198797659611564</v>
      </c>
      <c r="E33" s="16"/>
      <c r="F33" s="392" t="s">
        <v>214</v>
      </c>
      <c r="G33" s="41"/>
      <c r="H33" s="41"/>
      <c r="I33" s="41"/>
      <c r="J33" s="41"/>
      <c r="K33" s="18"/>
      <c r="L33" s="41"/>
      <c r="M33" s="44"/>
    </row>
    <row r="34" spans="1:17" ht="15.75" customHeight="1" x14ac:dyDescent="0.25">
      <c r="A34" s="110" t="s">
        <v>71</v>
      </c>
      <c r="B34" s="665"/>
      <c r="C34" s="111">
        <f>+$B$27*(1-Effektiviseringer!M8)</f>
        <v>35.13947575879277</v>
      </c>
      <c r="D34" s="856">
        <f>+$B$27*(1-Effektiviseringer!N8)</f>
        <v>26.124650242310441</v>
      </c>
      <c r="E34" s="382"/>
      <c r="F34" s="31" t="s">
        <v>59</v>
      </c>
      <c r="G34" s="41"/>
      <c r="H34" s="41">
        <f t="shared" ref="H34:J35" si="6">+H22*H10*H$13/100</f>
        <v>1.3793195335897424</v>
      </c>
      <c r="I34" s="41">
        <f t="shared" si="6"/>
        <v>1.0057538265758539</v>
      </c>
      <c r="J34" s="41">
        <f t="shared" si="6"/>
        <v>1.7241494169871776</v>
      </c>
      <c r="K34" s="41">
        <f>SUM(H34:J34)</f>
        <v>4.1092227771527741</v>
      </c>
      <c r="L34" s="41">
        <f>+L22*L10*L$13/100</f>
        <v>1.6580868153430395</v>
      </c>
      <c r="M34" s="44">
        <f>+K34+L34</f>
        <v>5.7673095924958133</v>
      </c>
    </row>
    <row r="35" spans="1:17" ht="15.75" customHeight="1" x14ac:dyDescent="0.25">
      <c r="A35" s="708" t="s">
        <v>302</v>
      </c>
      <c r="B35" s="18"/>
      <c r="C35" s="18"/>
      <c r="D35" s="28"/>
      <c r="E35" s="397"/>
      <c r="F35" s="29" t="s">
        <v>60</v>
      </c>
      <c r="G35" s="42"/>
      <c r="H35" s="42">
        <f t="shared" si="6"/>
        <v>0.5599921292307698</v>
      </c>
      <c r="I35" s="42">
        <f t="shared" si="6"/>
        <v>0.4083275942307697</v>
      </c>
      <c r="J35" s="42">
        <f t="shared" si="6"/>
        <v>0.69999016153846227</v>
      </c>
      <c r="K35" s="42">
        <f>SUM(H35:J35)</f>
        <v>1.6683098850000018</v>
      </c>
      <c r="L35" s="42">
        <f>+L23*L11*L$13/100</f>
        <v>1.2010366052021229</v>
      </c>
      <c r="M35" s="45">
        <f>+K35+L35</f>
        <v>2.8693464902021244</v>
      </c>
    </row>
    <row r="36" spans="1:17" ht="15.75" customHeight="1" thickBot="1" x14ac:dyDescent="0.3">
      <c r="A36" s="53" t="s">
        <v>178</v>
      </c>
      <c r="B36" s="43">
        <f>+$C$27</f>
        <v>45.035883082346217</v>
      </c>
      <c r="C36" s="43">
        <f t="shared" ref="C36:D36" si="7">+$C$27</f>
        <v>45.035883082346217</v>
      </c>
      <c r="D36" s="141">
        <f t="shared" si="7"/>
        <v>45.035883082346217</v>
      </c>
      <c r="E36" s="396"/>
      <c r="F36" s="33" t="s">
        <v>34</v>
      </c>
      <c r="G36" s="46"/>
      <c r="H36" s="46">
        <f t="shared" ref="H36:J36" si="8">SUM(H34:H35)</f>
        <v>1.9393116628205123</v>
      </c>
      <c r="I36" s="46">
        <f t="shared" si="8"/>
        <v>1.4140814208066237</v>
      </c>
      <c r="J36" s="46">
        <f t="shared" si="8"/>
        <v>2.4241395785256401</v>
      </c>
      <c r="K36" s="46">
        <f>SUM(H36:J36)</f>
        <v>5.7775326621527761</v>
      </c>
      <c r="L36" s="46">
        <f>SUM(L34:L35)</f>
        <v>2.8591234205451626</v>
      </c>
      <c r="M36" s="47">
        <f>SUM(M34:M35)</f>
        <v>8.6366560826979377</v>
      </c>
    </row>
    <row r="37" spans="1:17" ht="15.75" customHeight="1" thickBot="1" x14ac:dyDescent="0.3">
      <c r="A37" s="53" t="s">
        <v>69</v>
      </c>
      <c r="B37" s="857"/>
      <c r="C37" s="43">
        <f>$C$27*(1-Effektiviseringer!G9)</f>
        <v>38.082915042104759</v>
      </c>
      <c r="D37" s="141">
        <f>$C$27*(1-Effektiviseringer!H9)</f>
        <v>33.202197922939966</v>
      </c>
      <c r="E37" s="396"/>
    </row>
    <row r="38" spans="1:17" ht="15.75" customHeight="1" x14ac:dyDescent="0.25">
      <c r="A38" s="53" t="s">
        <v>70</v>
      </c>
      <c r="B38" s="857"/>
      <c r="C38" s="43">
        <f>+$C$27*(1-Effektiviseringer!J9)</f>
        <v>36.190226336829085</v>
      </c>
      <c r="D38" s="141">
        <f>+$C$27*(1-Effektiviseringer!K9)</f>
        <v>29.799735932010876</v>
      </c>
      <c r="E38" s="396"/>
      <c r="F38" s="182" t="s">
        <v>96</v>
      </c>
      <c r="G38" s="668"/>
      <c r="H38" s="672">
        <f>+B2</f>
        <v>2035</v>
      </c>
      <c r="I38" s="668"/>
      <c r="J38" s="668"/>
      <c r="K38" s="668"/>
      <c r="L38" s="668"/>
      <c r="M38" s="672">
        <f>+C2</f>
        <v>2050</v>
      </c>
      <c r="N38" s="668"/>
      <c r="O38" s="668"/>
      <c r="P38" s="668"/>
      <c r="Q38" s="669"/>
    </row>
    <row r="39" spans="1:17" ht="15.75" customHeight="1" x14ac:dyDescent="0.25">
      <c r="A39" s="110" t="s">
        <v>71</v>
      </c>
      <c r="B39" s="666"/>
      <c r="C39" s="323">
        <f>+$C$27*(1-Effektiviseringer!M9)</f>
        <v>33.563700429292737</v>
      </c>
      <c r="D39" s="142">
        <f>+$C$27*(1-Effektiviseringer!N9)</f>
        <v>24.953130791473189</v>
      </c>
      <c r="E39" s="396"/>
      <c r="F39" s="183"/>
      <c r="G39" s="184"/>
      <c r="H39" s="677" t="s">
        <v>97</v>
      </c>
      <c r="I39" s="678" t="s">
        <v>98</v>
      </c>
      <c r="J39" s="678" t="s">
        <v>34</v>
      </c>
      <c r="K39" s="678" t="s">
        <v>99</v>
      </c>
      <c r="L39" s="678" t="s">
        <v>100</v>
      </c>
      <c r="M39" s="677" t="s">
        <v>97</v>
      </c>
      <c r="N39" s="678" t="s">
        <v>98</v>
      </c>
      <c r="O39" s="678" t="s">
        <v>34</v>
      </c>
      <c r="P39" s="678" t="s">
        <v>99</v>
      </c>
      <c r="Q39" s="679" t="s">
        <v>100</v>
      </c>
    </row>
    <row r="40" spans="1:17" ht="15.75" customHeight="1" x14ac:dyDescent="0.25">
      <c r="A40" s="664" t="s">
        <v>303</v>
      </c>
      <c r="B40" s="20"/>
      <c r="C40" s="20"/>
      <c r="D40" s="37"/>
      <c r="E40" s="396"/>
      <c r="F40" s="185" t="s">
        <v>59</v>
      </c>
      <c r="G40" s="187" t="s">
        <v>136</v>
      </c>
      <c r="H40" s="673">
        <f>+K27</f>
        <v>8.2759172015384532</v>
      </c>
      <c r="I40" s="189">
        <f>+C42</f>
        <v>96.347532697199824</v>
      </c>
      <c r="J40" s="189">
        <f>+H40+I40</f>
        <v>104.62344989873827</v>
      </c>
      <c r="K40" s="188">
        <f>+J40-L40</f>
        <v>70.210105341382643</v>
      </c>
      <c r="L40" s="188">
        <f>+H40*$C$55+I40*$C$56</f>
        <v>34.413344557355629</v>
      </c>
      <c r="M40" s="673">
        <f>+M27</f>
        <v>13.250177647567572</v>
      </c>
      <c r="N40" s="189">
        <f>+D42</f>
        <v>91.276609923663003</v>
      </c>
      <c r="O40" s="189">
        <f>+M40+N40</f>
        <v>104.52678757123057</v>
      </c>
      <c r="P40" s="188">
        <f>+O40-Q40</f>
        <v>69.027301212599212</v>
      </c>
      <c r="Q40" s="190">
        <f>+M40*$D$55+N40*$D$56</f>
        <v>35.499486358631366</v>
      </c>
    </row>
    <row r="41" spans="1:17" ht="15.75" customHeight="1" x14ac:dyDescent="0.25">
      <c r="A41" s="708" t="s">
        <v>297</v>
      </c>
      <c r="B41" s="18"/>
      <c r="C41" s="18"/>
      <c r="D41" s="28"/>
      <c r="E41" s="396"/>
      <c r="F41" s="191"/>
      <c r="G41" s="187" t="s">
        <v>54</v>
      </c>
      <c r="H41" s="673">
        <f>+K30</f>
        <v>4.1092227771527741</v>
      </c>
      <c r="I41" s="189">
        <f>+C43</f>
        <v>81.472698015378157</v>
      </c>
      <c r="J41" s="189">
        <f t="shared" ref="J41:J42" si="9">+H41+I41</f>
        <v>85.581920792530937</v>
      </c>
      <c r="K41" s="188">
        <f t="shared" ref="K41:K42" si="10">+J41-L41</f>
        <v>57.059358911871811</v>
      </c>
      <c r="L41" s="188">
        <f t="shared" ref="L41:L43" si="11">+H41*$C$55+I41*$C$56</f>
        <v>28.522561880659129</v>
      </c>
      <c r="M41" s="673">
        <f>+M30</f>
        <v>5.7673095924958133</v>
      </c>
      <c r="N41" s="189">
        <f>+D43</f>
        <v>67.292653346646929</v>
      </c>
      <c r="O41" s="189">
        <f t="shared" ref="O41:O42" si="12">+M41+N41</f>
        <v>73.059962939142736</v>
      </c>
      <c r="P41" s="188">
        <f t="shared" ref="P41:P47" si="13">+O41-Q41</f>
        <v>47.688613117923786</v>
      </c>
      <c r="Q41" s="190">
        <f>+M41*$D$55+N41*$D$56</f>
        <v>25.371349821218949</v>
      </c>
    </row>
    <row r="42" spans="1:17" ht="15.75" customHeight="1" x14ac:dyDescent="0.25">
      <c r="A42" s="53" t="s">
        <v>178</v>
      </c>
      <c r="B42" s="43">
        <f>+B11*B31/100</f>
        <v>101.41845547073666</v>
      </c>
      <c r="C42" s="858">
        <f>+($B$11-C$13)*C31/100</f>
        <v>96.347532697199824</v>
      </c>
      <c r="D42" s="859">
        <f>+($B$11-D$13)*D31/100</f>
        <v>91.276609923663003</v>
      </c>
      <c r="E42" s="396"/>
      <c r="F42" s="191"/>
      <c r="G42" s="187" t="s">
        <v>215</v>
      </c>
      <c r="H42" s="673">
        <f>+K34</f>
        <v>4.1092227771527741</v>
      </c>
      <c r="I42" s="189">
        <f>+C44</f>
        <v>77.423573751871658</v>
      </c>
      <c r="J42" s="189">
        <f t="shared" si="9"/>
        <v>81.532796529024438</v>
      </c>
      <c r="K42" s="188">
        <f t="shared" si="10"/>
        <v>54.386936897957519</v>
      </c>
      <c r="L42" s="188">
        <f t="shared" si="11"/>
        <v>27.145859631066919</v>
      </c>
      <c r="M42" s="673">
        <f>+M34</f>
        <v>5.7673095924958133</v>
      </c>
      <c r="N42" s="189">
        <f>+D44</f>
        <v>60.396703391401928</v>
      </c>
      <c r="O42" s="189">
        <f t="shared" si="12"/>
        <v>66.164012983897749</v>
      </c>
      <c r="P42" s="188">
        <f t="shared" si="13"/>
        <v>43.274439919772753</v>
      </c>
      <c r="Q42" s="190">
        <f>+M42*$D$55+N42*$D$56</f>
        <v>22.889573064124995</v>
      </c>
    </row>
    <row r="43" spans="1:17" ht="15.75" customHeight="1" x14ac:dyDescent="0.25">
      <c r="A43" s="53" t="s">
        <v>69</v>
      </c>
      <c r="B43" s="857"/>
      <c r="C43" s="858">
        <f>+($B$11-C$13)*C32/100</f>
        <v>81.472698015378157</v>
      </c>
      <c r="D43" s="859">
        <f>+($B$11-D$13)*D32/100</f>
        <v>67.292653346646929</v>
      </c>
      <c r="E43" s="396"/>
      <c r="F43" s="671"/>
      <c r="G43" s="193" t="s">
        <v>119</v>
      </c>
      <c r="H43" s="674">
        <f>+K34</f>
        <v>4.1092227771527741</v>
      </c>
      <c r="I43" s="195">
        <f>+C45</f>
        <v>71.804514605330851</v>
      </c>
      <c r="J43" s="195">
        <f>+H43+I43</f>
        <v>75.913737382483632</v>
      </c>
      <c r="K43" s="194">
        <f t="shared" ref="K43:K47" si="14">+J43-L43</f>
        <v>50.678357861240585</v>
      </c>
      <c r="L43" s="194">
        <f t="shared" si="11"/>
        <v>25.235379521243047</v>
      </c>
      <c r="M43" s="674">
        <f>+M34</f>
        <v>5.7673095924958133</v>
      </c>
      <c r="N43" s="195">
        <f>+D45</f>
        <v>50.573832014415672</v>
      </c>
      <c r="O43" s="195">
        <f>+M43+N43</f>
        <v>56.341141606911485</v>
      </c>
      <c r="P43" s="194">
        <f t="shared" si="13"/>
        <v>36.986712218355962</v>
      </c>
      <c r="Q43" s="196">
        <f>+M43*$D$55+N43*$D$56</f>
        <v>19.35442938855552</v>
      </c>
    </row>
    <row r="44" spans="1:17" ht="15.75" customHeight="1" x14ac:dyDescent="0.25">
      <c r="A44" s="53" t="s">
        <v>70</v>
      </c>
      <c r="B44" s="857"/>
      <c r="C44" s="858">
        <f t="shared" ref="C44:D44" si="15">+($B$11-C$13)*C33/100</f>
        <v>77.423573751871658</v>
      </c>
      <c r="D44" s="859">
        <f t="shared" si="15"/>
        <v>60.396703391401928</v>
      </c>
      <c r="E44" s="396"/>
      <c r="F44" s="191" t="s">
        <v>60</v>
      </c>
      <c r="G44" s="187" t="s">
        <v>136</v>
      </c>
      <c r="H44" s="673">
        <f>+K28</f>
        <v>3.359952775384619</v>
      </c>
      <c r="I44" s="189">
        <f>+C47</f>
        <v>37.58848352971598</v>
      </c>
      <c r="J44" s="189">
        <f t="shared" ref="J44:J47" si="16">+H44+I44</f>
        <v>40.9484363051006</v>
      </c>
      <c r="K44" s="188">
        <f t="shared" si="14"/>
        <v>5.3506062174120714</v>
      </c>
      <c r="L44" s="188">
        <f>+H44*$F$55+I44*$F$56</f>
        <v>35.597830087688529</v>
      </c>
      <c r="M44" s="673">
        <f>+M28</f>
        <v>6.9630625909909885</v>
      </c>
      <c r="N44" s="189">
        <f>+D47</f>
        <v>35.610142291309877</v>
      </c>
      <c r="O44" s="189">
        <f t="shared" ref="O44:O47" si="17">+M44+N44</f>
        <v>42.573204882300864</v>
      </c>
      <c r="P44" s="188">
        <f t="shared" si="13"/>
        <v>5.2089792742468788</v>
      </c>
      <c r="Q44" s="190">
        <f>+M44*$G$55+N44*$G$56</f>
        <v>37.364225608053985</v>
      </c>
    </row>
    <row r="45" spans="1:17" ht="15.75" customHeight="1" x14ac:dyDescent="0.25">
      <c r="A45" s="110" t="s">
        <v>71</v>
      </c>
      <c r="B45" s="857"/>
      <c r="C45" s="858">
        <f t="shared" ref="C45:D45" si="18">+($B$11-C$13)*C34/100</f>
        <v>71.804514605330851</v>
      </c>
      <c r="D45" s="859">
        <f t="shared" si="18"/>
        <v>50.573832014415672</v>
      </c>
      <c r="E45" s="396"/>
      <c r="F45" s="191"/>
      <c r="G45" s="187" t="s">
        <v>54</v>
      </c>
      <c r="H45" s="673">
        <f>+K31</f>
        <v>1.6683098850000018</v>
      </c>
      <c r="I45" s="189">
        <f>+C48</f>
        <v>31.785299340224515</v>
      </c>
      <c r="J45" s="189">
        <f t="shared" si="16"/>
        <v>33.453609225224518</v>
      </c>
      <c r="K45" s="188">
        <f t="shared" si="14"/>
        <v>4.2313133920769417</v>
      </c>
      <c r="L45" s="188">
        <f t="shared" ref="L45:L47" si="19">+H45*$F$55+I45*$F$56</f>
        <v>29.222295833147577</v>
      </c>
      <c r="M45" s="673">
        <f>+M31</f>
        <v>2.8693464902021244</v>
      </c>
      <c r="N45" s="189">
        <f t="shared" ref="N45:N47" si="20">+D48</f>
        <v>26.25317661159826</v>
      </c>
      <c r="O45" s="189">
        <f t="shared" si="17"/>
        <v>29.122523101800383</v>
      </c>
      <c r="P45" s="188">
        <f t="shared" si="13"/>
        <v>3.2742380838921541</v>
      </c>
      <c r="Q45" s="190">
        <f>+M45*$G$55+N45*$G$56</f>
        <v>25.848285017908228</v>
      </c>
    </row>
    <row r="46" spans="1:17" ht="15.75" customHeight="1" x14ac:dyDescent="0.25">
      <c r="A46" s="708" t="s">
        <v>302</v>
      </c>
      <c r="B46" s="18"/>
      <c r="C46" s="18"/>
      <c r="D46" s="28"/>
      <c r="E46" s="396"/>
      <c r="F46" s="185"/>
      <c r="G46" s="187" t="s">
        <v>215</v>
      </c>
      <c r="H46" s="673">
        <f>+K35</f>
        <v>1.6683098850000018</v>
      </c>
      <c r="I46" s="189">
        <f>+C49</f>
        <v>30.205596815127993</v>
      </c>
      <c r="J46" s="189">
        <f t="shared" si="16"/>
        <v>31.873906700127996</v>
      </c>
      <c r="K46" s="188">
        <f t="shared" si="14"/>
        <v>4.0417490890653625</v>
      </c>
      <c r="L46" s="188">
        <f t="shared" si="19"/>
        <v>27.832157611062634</v>
      </c>
      <c r="M46" s="673">
        <f>+M35</f>
        <v>2.8693464902021244</v>
      </c>
      <c r="N46" s="189">
        <f t="shared" si="20"/>
        <v>23.562829551761141</v>
      </c>
      <c r="O46" s="189">
        <f t="shared" si="17"/>
        <v>26.432176041963267</v>
      </c>
      <c r="P46" s="188">
        <f t="shared" si="13"/>
        <v>3.0122144655474479</v>
      </c>
      <c r="Q46" s="190">
        <f>+M46*$G$55+N46*$G$56</f>
        <v>23.419961576415819</v>
      </c>
    </row>
    <row r="47" spans="1:17" ht="15.75" customHeight="1" x14ac:dyDescent="0.25">
      <c r="A47" s="53" t="s">
        <v>178</v>
      </c>
      <c r="B47" s="20">
        <f>+B17*B36/100</f>
        <v>39.566824768122082</v>
      </c>
      <c r="C47" s="20">
        <f>+($B$17-C$19)*C36/100</f>
        <v>37.58848352971598</v>
      </c>
      <c r="D47" s="37">
        <f>+($B$17-D$19)*D36/100</f>
        <v>35.610142291309877</v>
      </c>
      <c r="E47" s="396"/>
      <c r="F47" s="192"/>
      <c r="G47" s="193" t="s">
        <v>119</v>
      </c>
      <c r="H47" s="674">
        <f>+K31</f>
        <v>1.6683098850000018</v>
      </c>
      <c r="I47" s="195">
        <f>+C50</f>
        <v>28.013408740670034</v>
      </c>
      <c r="J47" s="195">
        <f t="shared" si="16"/>
        <v>29.681718625670037</v>
      </c>
      <c r="K47" s="194">
        <f t="shared" si="14"/>
        <v>3.7786865201304067</v>
      </c>
      <c r="L47" s="194">
        <f t="shared" si="19"/>
        <v>25.90303210553963</v>
      </c>
      <c r="M47" s="674">
        <f>+M35</f>
        <v>2.8693464902021244</v>
      </c>
      <c r="N47" s="195">
        <f t="shared" si="20"/>
        <v>19.730589860385031</v>
      </c>
      <c r="O47" s="195">
        <f t="shared" si="17"/>
        <v>22.599936350587157</v>
      </c>
      <c r="P47" s="194">
        <f t="shared" si="13"/>
        <v>2.6389773745829181</v>
      </c>
      <c r="Q47" s="196">
        <f>+M47*$G$55+N47*$G$56</f>
        <v>19.960958976004239</v>
      </c>
    </row>
    <row r="48" spans="1:17" ht="15.75" customHeight="1" x14ac:dyDescent="0.25">
      <c r="A48" s="53" t="s">
        <v>69</v>
      </c>
      <c r="B48" s="626"/>
      <c r="C48" s="20">
        <f t="shared" ref="C48:D48" si="21">+($B$17-C$19)*C37/100</f>
        <v>31.785299340224515</v>
      </c>
      <c r="D48" s="37">
        <f t="shared" si="21"/>
        <v>26.25317661159826</v>
      </c>
      <c r="F48" s="197" t="s">
        <v>34</v>
      </c>
      <c r="G48" s="187" t="s">
        <v>136</v>
      </c>
      <c r="H48" s="673">
        <f>+H40+H44</f>
        <v>11.635869976923072</v>
      </c>
      <c r="I48" s="188">
        <f t="shared" ref="I48:P48" si="22">+I40+I44</f>
        <v>133.9360162269158</v>
      </c>
      <c r="J48" s="188">
        <f t="shared" si="22"/>
        <v>145.57188620383886</v>
      </c>
      <c r="K48" s="188">
        <f t="shared" si="22"/>
        <v>75.560711558794708</v>
      </c>
      <c r="L48" s="188">
        <f>+L40+L44</f>
        <v>70.01117464504415</v>
      </c>
      <c r="M48" s="673">
        <f t="shared" si="22"/>
        <v>20.213240238558562</v>
      </c>
      <c r="N48" s="188">
        <f t="shared" si="22"/>
        <v>126.88675221497289</v>
      </c>
      <c r="O48" s="188">
        <f t="shared" si="22"/>
        <v>147.09999245353143</v>
      </c>
      <c r="P48" s="188">
        <f t="shared" si="22"/>
        <v>74.236280486846084</v>
      </c>
      <c r="Q48" s="190">
        <f>+Q40+Q44</f>
        <v>72.863711966685344</v>
      </c>
    </row>
    <row r="49" spans="1:22" x14ac:dyDescent="0.25">
      <c r="A49" s="53" t="s">
        <v>70</v>
      </c>
      <c r="B49" s="626"/>
      <c r="C49" s="20">
        <f t="shared" ref="C49:D49" si="23">+($B$17-C$19)*C38/100</f>
        <v>30.205596815127993</v>
      </c>
      <c r="D49" s="37">
        <f t="shared" si="23"/>
        <v>23.562829551761141</v>
      </c>
      <c r="F49" s="185"/>
      <c r="G49" s="187" t="s">
        <v>54</v>
      </c>
      <c r="H49" s="673">
        <f t="shared" ref="H49:P51" si="24">+H41+H45</f>
        <v>5.7775326621527761</v>
      </c>
      <c r="I49" s="188">
        <f t="shared" si="24"/>
        <v>113.25799735560267</v>
      </c>
      <c r="J49" s="188">
        <f t="shared" si="24"/>
        <v>119.03553001775546</v>
      </c>
      <c r="K49" s="188">
        <f t="shared" si="24"/>
        <v>61.290672303948753</v>
      </c>
      <c r="L49" s="188">
        <f t="shared" si="24"/>
        <v>57.744857713806709</v>
      </c>
      <c r="M49" s="673">
        <f t="shared" si="24"/>
        <v>8.6366560826979377</v>
      </c>
      <c r="N49" s="188">
        <f t="shared" si="24"/>
        <v>93.545829958245193</v>
      </c>
      <c r="O49" s="188">
        <f t="shared" si="24"/>
        <v>102.18248604094312</v>
      </c>
      <c r="P49" s="188">
        <f t="shared" si="24"/>
        <v>50.962851201815937</v>
      </c>
      <c r="Q49" s="190">
        <f>+Q41+Q45</f>
        <v>51.219634839127181</v>
      </c>
    </row>
    <row r="50" spans="1:22" ht="15.75" thickBot="1" x14ac:dyDescent="0.3">
      <c r="A50" s="54" t="s">
        <v>71</v>
      </c>
      <c r="B50" s="667"/>
      <c r="C50" s="39">
        <f t="shared" ref="C50:D50" si="25">+($B$17-C$19)*C39/100</f>
        <v>28.013408740670034</v>
      </c>
      <c r="D50" s="40">
        <f t="shared" si="25"/>
        <v>19.730589860385031</v>
      </c>
      <c r="F50" s="197"/>
      <c r="G50" s="187" t="s">
        <v>215</v>
      </c>
      <c r="H50" s="673">
        <f t="shared" si="24"/>
        <v>5.7775326621527761</v>
      </c>
      <c r="I50" s="188">
        <f t="shared" si="24"/>
        <v>107.62917056699965</v>
      </c>
      <c r="J50" s="188">
        <f t="shared" si="24"/>
        <v>113.40670322915244</v>
      </c>
      <c r="K50" s="188">
        <f t="shared" si="24"/>
        <v>58.428685987022881</v>
      </c>
      <c r="L50" s="188">
        <f t="shared" si="24"/>
        <v>54.978017242129553</v>
      </c>
      <c r="M50" s="673">
        <f t="shared" si="24"/>
        <v>8.6366560826979377</v>
      </c>
      <c r="N50" s="188">
        <f t="shared" si="24"/>
        <v>83.959532943163069</v>
      </c>
      <c r="O50" s="188">
        <f t="shared" si="24"/>
        <v>92.596189025861008</v>
      </c>
      <c r="P50" s="188">
        <f t="shared" si="24"/>
        <v>46.286654385320205</v>
      </c>
      <c r="Q50" s="190">
        <f>+Q42+Q46</f>
        <v>46.309534640540818</v>
      </c>
    </row>
    <row r="51" spans="1:22" ht="15.75" thickBot="1" x14ac:dyDescent="0.3">
      <c r="F51" s="197"/>
      <c r="G51" s="187" t="s">
        <v>119</v>
      </c>
      <c r="H51" s="675">
        <f t="shared" si="24"/>
        <v>5.7775326621527761</v>
      </c>
      <c r="I51" s="201">
        <f t="shared" si="24"/>
        <v>99.817923346000882</v>
      </c>
      <c r="J51" s="201">
        <f t="shared" si="24"/>
        <v>105.59545600815366</v>
      </c>
      <c r="K51" s="201">
        <f t="shared" si="24"/>
        <v>54.457044381370991</v>
      </c>
      <c r="L51" s="201">
        <f t="shared" si="24"/>
        <v>51.138411626782677</v>
      </c>
      <c r="M51" s="675">
        <f t="shared" si="24"/>
        <v>8.6366560826979377</v>
      </c>
      <c r="N51" s="201">
        <f t="shared" si="24"/>
        <v>70.30442187480071</v>
      </c>
      <c r="O51" s="201">
        <f t="shared" si="24"/>
        <v>78.941077957498635</v>
      </c>
      <c r="P51" s="201">
        <f t="shared" si="24"/>
        <v>39.625689592938883</v>
      </c>
      <c r="Q51" s="202">
        <f>+Q43+Q47</f>
        <v>39.315388364559759</v>
      </c>
    </row>
    <row r="52" spans="1:22" x14ac:dyDescent="0.25">
      <c r="A52" s="60" t="s">
        <v>74</v>
      </c>
      <c r="B52" s="25"/>
      <c r="C52" s="25"/>
      <c r="D52" s="25"/>
      <c r="E52" s="118"/>
      <c r="F52" s="25"/>
      <c r="G52" s="26"/>
    </row>
    <row r="53" spans="1:22" x14ac:dyDescent="0.25">
      <c r="A53" s="52"/>
      <c r="B53" s="365" t="s">
        <v>59</v>
      </c>
      <c r="C53" s="18"/>
      <c r="D53" s="365"/>
      <c r="E53" s="650" t="s">
        <v>60</v>
      </c>
      <c r="F53" s="18"/>
      <c r="G53" s="616"/>
    </row>
    <row r="54" spans="1:22" x14ac:dyDescent="0.25">
      <c r="A54" s="403"/>
      <c r="B54" s="30">
        <v>2011</v>
      </c>
      <c r="C54" s="621">
        <f>+B2</f>
        <v>2035</v>
      </c>
      <c r="D54" s="11">
        <f>+C2</f>
        <v>2050</v>
      </c>
      <c r="E54" s="30">
        <v>2011</v>
      </c>
      <c r="F54" s="11">
        <f>+B2</f>
        <v>2035</v>
      </c>
      <c r="G54" s="144">
        <f>+C2</f>
        <v>2050</v>
      </c>
    </row>
    <row r="55" spans="1:22" ht="15.75" thickBot="1" x14ac:dyDescent="0.3">
      <c r="A55" s="52" t="s">
        <v>62</v>
      </c>
      <c r="B55" s="617"/>
      <c r="C55" s="861">
        <f>'Øvr forudsæt'!D22</f>
        <v>0.2</v>
      </c>
      <c r="D55" s="861">
        <f>'Øvr forudsæt'!E22</f>
        <v>0.2</v>
      </c>
      <c r="E55" s="617"/>
      <c r="F55" s="861">
        <f>'Øvr forudsæt'!G22</f>
        <v>0.75</v>
      </c>
      <c r="G55" s="862">
        <f>'Øvr forudsæt'!H22</f>
        <v>0.75</v>
      </c>
    </row>
    <row r="56" spans="1:22" ht="15.75" thickBot="1" x14ac:dyDescent="0.3">
      <c r="A56" s="403" t="s">
        <v>307</v>
      </c>
      <c r="B56" s="622">
        <f>'Øvr forudsæt'!C23</f>
        <v>0.31892376375098558</v>
      </c>
      <c r="C56" s="861">
        <f>'Øvr forudsæt'!D23</f>
        <v>0.34</v>
      </c>
      <c r="D56" s="861">
        <f>'Øvr forudsæt'!E23</f>
        <v>0.35988903243219372</v>
      </c>
      <c r="E56" s="622">
        <f>'Øvr forudsæt'!F23</f>
        <v>0.85760278095947418</v>
      </c>
      <c r="F56" s="861">
        <f>'Øvr forudsæt'!G23</f>
        <v>0.88</v>
      </c>
      <c r="G56" s="862">
        <f>'Øvr forudsæt'!H23</f>
        <v>0.90260601605780444</v>
      </c>
    </row>
    <row r="57" spans="1:22" x14ac:dyDescent="0.25">
      <c r="A57" s="377"/>
      <c r="B57" s="404"/>
      <c r="C57" s="350"/>
      <c r="D57" s="112"/>
    </row>
    <row r="58" spans="1:22" x14ac:dyDescent="0.25">
      <c r="A58" s="377"/>
      <c r="B58" s="404"/>
      <c r="C58" s="350"/>
      <c r="D58" s="112"/>
    </row>
    <row r="59" spans="1:22" ht="15.75" thickBot="1" x14ac:dyDescent="0.3"/>
    <row r="60" spans="1:22" ht="18.75" x14ac:dyDescent="0.3">
      <c r="A60" s="74" t="s">
        <v>75</v>
      </c>
      <c r="B60" s="50"/>
      <c r="C60" s="50"/>
      <c r="D60" s="50"/>
      <c r="E60" s="25"/>
      <c r="F60" s="50"/>
      <c r="G60" s="75"/>
      <c r="H60" s="25"/>
      <c r="I60" s="25"/>
      <c r="J60" s="25"/>
      <c r="K60" s="25"/>
      <c r="L60" s="25"/>
      <c r="M60" s="25"/>
      <c r="N60" s="26"/>
      <c r="O60" s="75"/>
      <c r="P60" s="25"/>
      <c r="Q60" s="25"/>
      <c r="R60" s="25"/>
      <c r="S60" s="25"/>
      <c r="T60" s="25"/>
      <c r="U60" s="25"/>
      <c r="V60" s="26"/>
    </row>
    <row r="61" spans="1:22" x14ac:dyDescent="0.25">
      <c r="A61" s="12"/>
      <c r="B61" s="1066" t="s">
        <v>0</v>
      </c>
      <c r="C61" s="1089"/>
      <c r="D61" s="1066" t="s">
        <v>50</v>
      </c>
      <c r="E61" s="1026"/>
      <c r="F61" s="18" t="s">
        <v>171</v>
      </c>
      <c r="G61" s="619" t="s">
        <v>296</v>
      </c>
      <c r="H61" s="365"/>
      <c r="I61" s="365">
        <f>+B2</f>
        <v>2035</v>
      </c>
      <c r="J61" s="649"/>
      <c r="K61" s="658" t="s">
        <v>289</v>
      </c>
      <c r="L61" s="659"/>
      <c r="M61" s="659">
        <f>+B2</f>
        <v>2035</v>
      </c>
      <c r="N61" s="660"/>
      <c r="O61" s="365" t="s">
        <v>287</v>
      </c>
      <c r="P61" s="365"/>
      <c r="Q61" s="365">
        <f>+C2</f>
        <v>2050</v>
      </c>
      <c r="R61" s="649"/>
      <c r="S61" s="658" t="s">
        <v>289</v>
      </c>
      <c r="T61" s="204"/>
      <c r="U61" s="661">
        <f>+C2</f>
        <v>2050</v>
      </c>
      <c r="V61" s="205"/>
    </row>
    <row r="62" spans="1:22" x14ac:dyDescent="0.25">
      <c r="A62" s="12"/>
      <c r="B62" s="1066">
        <v>2011</v>
      </c>
      <c r="C62" s="1089"/>
      <c r="D62" s="1066" t="s">
        <v>339</v>
      </c>
      <c r="E62" s="1026"/>
      <c r="F62" s="18"/>
      <c r="G62" s="851" t="s">
        <v>53</v>
      </c>
      <c r="H62" s="849" t="s">
        <v>54</v>
      </c>
      <c r="I62" s="849" t="s">
        <v>55</v>
      </c>
      <c r="J62" s="849" t="s">
        <v>56</v>
      </c>
      <c r="K62" s="203" t="s">
        <v>53</v>
      </c>
      <c r="L62" s="204" t="s">
        <v>54</v>
      </c>
      <c r="M62" s="204" t="s">
        <v>55</v>
      </c>
      <c r="N62" s="205" t="s">
        <v>56</v>
      </c>
      <c r="O62" s="849" t="s">
        <v>53</v>
      </c>
      <c r="P62" s="562" t="s">
        <v>54</v>
      </c>
      <c r="Q62" s="562" t="s">
        <v>55</v>
      </c>
      <c r="R62" s="562" t="s">
        <v>56</v>
      </c>
      <c r="S62" s="203" t="s">
        <v>53</v>
      </c>
      <c r="T62" s="204" t="s">
        <v>54</v>
      </c>
      <c r="U62" s="204" t="s">
        <v>55</v>
      </c>
      <c r="V62" s="205" t="s">
        <v>56</v>
      </c>
    </row>
    <row r="63" spans="1:22" x14ac:dyDescent="0.25">
      <c r="A63" s="12"/>
      <c r="B63" s="66" t="s">
        <v>81</v>
      </c>
      <c r="C63" s="18" t="s">
        <v>83</v>
      </c>
      <c r="D63" s="1066" t="s">
        <v>154</v>
      </c>
      <c r="E63" s="1026"/>
      <c r="F63" s="18"/>
      <c r="G63" s="66"/>
      <c r="H63" s="18"/>
      <c r="I63" s="18"/>
      <c r="J63" s="18"/>
      <c r="K63" s="206"/>
      <c r="L63" s="186"/>
      <c r="M63" s="186"/>
      <c r="N63" s="207"/>
      <c r="O63" s="18"/>
      <c r="P63" s="18"/>
      <c r="Q63" s="18"/>
      <c r="R63" s="18"/>
      <c r="S63" s="206"/>
      <c r="T63" s="186"/>
      <c r="U63" s="186"/>
      <c r="V63" s="207"/>
    </row>
    <row r="64" spans="1:22" ht="15.75" x14ac:dyDescent="0.25">
      <c r="A64" s="76"/>
      <c r="B64" s="67" t="s">
        <v>82</v>
      </c>
      <c r="C64" s="848" t="s">
        <v>1</v>
      </c>
      <c r="D64" s="67" t="s">
        <v>315</v>
      </c>
      <c r="E64" s="5" t="s">
        <v>338</v>
      </c>
      <c r="F64" s="5"/>
      <c r="G64" s="71"/>
      <c r="H64" s="5"/>
      <c r="I64" s="5"/>
      <c r="J64" s="5"/>
      <c r="K64" s="208"/>
      <c r="L64" s="184"/>
      <c r="M64" s="184"/>
      <c r="N64" s="209"/>
      <c r="O64" s="5"/>
      <c r="P64" s="5"/>
      <c r="Q64" s="5"/>
      <c r="R64" s="5"/>
      <c r="S64" s="208"/>
      <c r="T64" s="184"/>
      <c r="U64" s="184"/>
      <c r="V64" s="209"/>
    </row>
    <row r="65" spans="1:22" x14ac:dyDescent="0.25">
      <c r="A65" s="12" t="s">
        <v>44</v>
      </c>
      <c r="B65" s="68">
        <f>+SUM(B66:B70)</f>
        <v>1</v>
      </c>
      <c r="C65" s="41">
        <f>+'2011'!R7+'2011'!R8</f>
        <v>31.303970478820005</v>
      </c>
      <c r="D65" s="66"/>
      <c r="E65" s="18"/>
      <c r="F65" s="18"/>
      <c r="G65" s="66"/>
      <c r="H65" s="18"/>
      <c r="I65" s="18"/>
      <c r="J65" s="18"/>
      <c r="K65" s="210">
        <f>+SUM(K66:K70)</f>
        <v>38.769020054425006</v>
      </c>
      <c r="L65" s="211">
        <f t="shared" ref="L65:N65" si="26">+SUM(L66:L70)</f>
        <v>31.146548620021143</v>
      </c>
      <c r="M65" s="211">
        <f t="shared" si="26"/>
        <v>28.98814941262977</v>
      </c>
      <c r="N65" s="212">
        <f t="shared" si="26"/>
        <v>27.258843840298443</v>
      </c>
      <c r="O65" s="18"/>
      <c r="P65" s="18"/>
      <c r="Q65" s="18"/>
      <c r="R65" s="18"/>
      <c r="S65" s="210">
        <f>+SUM(S66:S70)</f>
        <v>43.61581202671811</v>
      </c>
      <c r="T65" s="211">
        <f t="shared" ref="T65:V65" si="27">+SUM(T66:T70)</f>
        <v>28.756128710033501</v>
      </c>
      <c r="U65" s="211">
        <f t="shared" si="27"/>
        <v>24.069761266802349</v>
      </c>
      <c r="V65" s="212">
        <f t="shared" si="27"/>
        <v>20.343180699244311</v>
      </c>
    </row>
    <row r="66" spans="1:22" x14ac:dyDescent="0.25">
      <c r="A66" s="77" t="s">
        <v>76</v>
      </c>
      <c r="B66" s="69">
        <f>+'Øvr forudsæt'!E56</f>
        <v>0.1</v>
      </c>
      <c r="C66" s="357">
        <f>+$C$65*B66</f>
        <v>3.1303970478820009</v>
      </c>
      <c r="D66" s="70">
        <f>+'E-tjen-oversigt'!E14</f>
        <v>6.1852338501102722E-3</v>
      </c>
      <c r="E66" s="99">
        <f>+'E-tjen-oversigt'!G14</f>
        <v>6.0238999823911676E-3</v>
      </c>
      <c r="F66" s="8">
        <f>+'E-tjen-oversigt'!D14</f>
        <v>1</v>
      </c>
      <c r="G66" s="72">
        <v>0</v>
      </c>
      <c r="H66" s="356">
        <f>+Effektiviseringer!G11</f>
        <v>0.1964135293926228</v>
      </c>
      <c r="I66" s="356">
        <f>+Effektiviseringer!J11</f>
        <v>0.23990379622210423</v>
      </c>
      <c r="J66" s="356">
        <f>+Effektiviseringer!M11</f>
        <v>0.30025260992810354</v>
      </c>
      <c r="K66" s="522">
        <f>+$C66*(1+$D66*$F66)^$B$3*(1-G66)</f>
        <v>3.6296936840250389</v>
      </c>
      <c r="L66" s="522">
        <f t="shared" ref="K66:N70" si="28">+$C66*(1+$D66*$F66)^$B$3*(1-H66)</f>
        <v>2.9167727369315695</v>
      </c>
      <c r="M66" s="522">
        <f t="shared" si="28"/>
        <v>2.7589163901040372</v>
      </c>
      <c r="N66" s="863">
        <f t="shared" si="28"/>
        <v>2.5398686821569676</v>
      </c>
      <c r="O66" s="16">
        <v>0</v>
      </c>
      <c r="P66" s="356">
        <f>+Effektiviseringer!H11</f>
        <v>0.33831127775326819</v>
      </c>
      <c r="Q66" s="356">
        <f>+Effektiviseringer!K11</f>
        <v>0.41825878787702897</v>
      </c>
      <c r="R66" s="356">
        <f>+Effektiviseringer!N11</f>
        <v>0.53212806550304403</v>
      </c>
      <c r="S66" s="522">
        <f>+$C66*(1+$E66*$F66)^$C$3*(1-O66)</f>
        <v>3.9566083197289315</v>
      </c>
      <c r="T66" s="522">
        <f t="shared" ref="T66:V70" si="29">+$C66*(1+$E66*$F66)^$C$3*(1-P66)</f>
        <v>2.6180431035122251</v>
      </c>
      <c r="U66" s="522">
        <f t="shared" si="29"/>
        <v>2.3017221198149405</v>
      </c>
      <c r="V66" s="522">
        <f t="shared" si="29"/>
        <v>1.8511859885983257</v>
      </c>
    </row>
    <row r="67" spans="1:22" x14ac:dyDescent="0.25">
      <c r="A67" s="77" t="s">
        <v>77</v>
      </c>
      <c r="B67" s="69">
        <f>+'Øvr forudsæt'!E57</f>
        <v>0.36</v>
      </c>
      <c r="C67" s="65">
        <f>+$C$65*B67</f>
        <v>11.269429372375201</v>
      </c>
      <c r="D67" s="70">
        <f>+'E-tjen-oversigt'!E15</f>
        <v>3.1690533672987797E-3</v>
      </c>
      <c r="E67" s="99">
        <f>+'E-tjen-oversigt'!G15</f>
        <v>2.5253368332296411E-3</v>
      </c>
      <c r="F67" s="8">
        <f>+'E-tjen-oversigt'!D15</f>
        <v>1</v>
      </c>
      <c r="G67" s="72">
        <v>0</v>
      </c>
      <c r="H67" s="356">
        <f>+Effektiviseringer!G12</f>
        <v>0.18224447551513423</v>
      </c>
      <c r="I67" s="356">
        <f>+Effektiviseringer!J12</f>
        <v>0.21074524088895652</v>
      </c>
      <c r="J67" s="356">
        <f>+Effektiviseringer!M12</f>
        <v>0.23990379622210423</v>
      </c>
      <c r="K67" s="522">
        <f t="shared" si="28"/>
        <v>12.158526757167568</v>
      </c>
      <c r="L67" s="522">
        <f t="shared" si="28"/>
        <v>9.9427024252708396</v>
      </c>
      <c r="M67" s="522">
        <f t="shared" si="28"/>
        <v>9.5961751068734653</v>
      </c>
      <c r="N67" s="863">
        <f t="shared" si="28"/>
        <v>9.2416500316550376</v>
      </c>
      <c r="O67" s="16">
        <v>0</v>
      </c>
      <c r="P67" s="356">
        <f>+Effektiviseringer!H12</f>
        <v>0.31265123527349603</v>
      </c>
      <c r="Q67" s="356">
        <f>+Effektiviseringer!K12</f>
        <v>0.36445982309592218</v>
      </c>
      <c r="R67" s="356">
        <f>+Effektiviseringer!N12</f>
        <v>0.41825878787702897</v>
      </c>
      <c r="S67" s="522">
        <f t="shared" ref="S67:S70" si="30">+$C67*(1+$E67*$F67)^$C$3*(1-O67)</f>
        <v>12.434286309635647</v>
      </c>
      <c r="T67" s="522">
        <f t="shared" si="29"/>
        <v>8.5466913351837412</v>
      </c>
      <c r="U67" s="522">
        <f t="shared" si="29"/>
        <v>7.9024885209017919</v>
      </c>
      <c r="V67" s="522">
        <f t="shared" si="29"/>
        <v>7.2335367896515059</v>
      </c>
    </row>
    <row r="68" spans="1:22" x14ac:dyDescent="0.25">
      <c r="A68" s="77" t="s">
        <v>78</v>
      </c>
      <c r="B68" s="69">
        <f>+'Øvr forudsæt'!E58</f>
        <v>0.35</v>
      </c>
      <c r="C68" s="65">
        <f>+$C$65*B68</f>
        <v>10.956389667587001</v>
      </c>
      <c r="D68" s="70">
        <f>+'E-tjen-oversigt'!E16</f>
        <v>1.5641921257166791E-2</v>
      </c>
      <c r="E68" s="99">
        <f>+'E-tjen-oversigt'!G16</f>
        <v>1.4745295507787137E-2</v>
      </c>
      <c r="F68" s="8">
        <f>+'E-tjen-oversigt'!D16</f>
        <v>1</v>
      </c>
      <c r="G68" s="72">
        <v>0</v>
      </c>
      <c r="H68" s="356">
        <f>+Effektiviseringer!G13</f>
        <v>0.21074524088895652</v>
      </c>
      <c r="I68" s="356">
        <f>+Effektiviseringer!J13</f>
        <v>0.30025260992810354</v>
      </c>
      <c r="J68" s="356">
        <f>+Effektiviseringer!M13</f>
        <v>0.34735105041435088</v>
      </c>
      <c r="K68" s="522">
        <f t="shared" si="28"/>
        <v>15.901654385503894</v>
      </c>
      <c r="L68" s="522">
        <f t="shared" si="28"/>
        <v>12.550456401497945</v>
      </c>
      <c r="M68" s="522">
        <f t="shared" si="28"/>
        <v>11.127141154081677</v>
      </c>
      <c r="N68" s="863">
        <f t="shared" si="28"/>
        <v>10.378198031373147</v>
      </c>
      <c r="O68" s="16">
        <v>0</v>
      </c>
      <c r="P68" s="356">
        <f>+Effektiviseringer!H13</f>
        <v>0.36445982309592218</v>
      </c>
      <c r="Q68" s="356">
        <f>+Effektiviseringer!K13</f>
        <v>0.53212806550304403</v>
      </c>
      <c r="R68" s="356">
        <f>+Effektiviseringer!N13</f>
        <v>0.62332786517235772</v>
      </c>
      <c r="S68" s="522">
        <f t="shared" si="30"/>
        <v>19.390646321175737</v>
      </c>
      <c r="T68" s="522">
        <f t="shared" si="29"/>
        <v>12.323534793244434</v>
      </c>
      <c r="U68" s="522">
        <f t="shared" si="29"/>
        <v>9.0723392054347745</v>
      </c>
      <c r="V68" s="522">
        <f t="shared" si="29"/>
        <v>7.303916145485033</v>
      </c>
    </row>
    <row r="69" spans="1:22" x14ac:dyDescent="0.25">
      <c r="A69" s="77" t="s">
        <v>79</v>
      </c>
      <c r="B69" s="69">
        <f>+'Øvr forudsæt'!E59</f>
        <v>0.17</v>
      </c>
      <c r="C69" s="65">
        <f>+$C$65*B69</f>
        <v>5.3216749813994015</v>
      </c>
      <c r="D69" s="70">
        <f>+'E-tjen-oversigt'!E17</f>
        <v>6.1852338501102722E-3</v>
      </c>
      <c r="E69" s="99">
        <f>+'E-tjen-oversigt'!G17</f>
        <v>6.0238999823911676E-3</v>
      </c>
      <c r="F69" s="8">
        <f>+'E-tjen-oversigt'!D17</f>
        <v>1</v>
      </c>
      <c r="G69" s="72">
        <v>0</v>
      </c>
      <c r="H69" s="356">
        <f>+Effektiviseringer!G14</f>
        <v>0.18224447551513423</v>
      </c>
      <c r="I69" s="356">
        <f>+Effektiviseringer!J14</f>
        <v>0.21074524088895652</v>
      </c>
      <c r="J69" s="356">
        <f>+Effektiviseringer!M14</f>
        <v>0.26973464853191498</v>
      </c>
      <c r="K69" s="522">
        <f t="shared" si="28"/>
        <v>6.1704792628425666</v>
      </c>
      <c r="L69" s="522">
        <f t="shared" si="28"/>
        <v>5.0459435059088111</v>
      </c>
      <c r="M69" s="522">
        <f t="shared" si="28"/>
        <v>4.8700801241944989</v>
      </c>
      <c r="N69" s="863">
        <f t="shared" si="28"/>
        <v>4.5060872076062575</v>
      </c>
      <c r="O69" s="16">
        <v>0</v>
      </c>
      <c r="P69" s="356">
        <f>+Effektiviseringer!H14</f>
        <v>0.31265123527349603</v>
      </c>
      <c r="Q69" s="356">
        <f>+Effektiviseringer!K14</f>
        <v>0.36445982309592218</v>
      </c>
      <c r="R69" s="356">
        <f>+Effektiviseringer!N14</f>
        <v>0.47412250850318927</v>
      </c>
      <c r="S69" s="522">
        <f t="shared" si="30"/>
        <v>6.726234143539183</v>
      </c>
      <c r="T69" s="522">
        <f t="shared" si="29"/>
        <v>4.6232687298228923</v>
      </c>
      <c r="U69" s="522">
        <f t="shared" si="29"/>
        <v>4.2747920374831407</v>
      </c>
      <c r="V69" s="522">
        <f t="shared" si="29"/>
        <v>3.5371751386245847</v>
      </c>
    </row>
    <row r="70" spans="1:22" ht="15.75" thickBot="1" x14ac:dyDescent="0.3">
      <c r="A70" s="78" t="s">
        <v>80</v>
      </c>
      <c r="B70" s="864">
        <f>+'Øvr forudsæt'!E60</f>
        <v>0.02</v>
      </c>
      <c r="C70" s="79">
        <f>+$C$65*B70</f>
        <v>0.62607940957640007</v>
      </c>
      <c r="D70" s="865">
        <f>+'E-tjen-oversigt'!E18</f>
        <v>1.5641921257166791E-2</v>
      </c>
      <c r="E70" s="866">
        <f>+'E-tjen-oversigt'!G18</f>
        <v>1.4745295507787137E-2</v>
      </c>
      <c r="F70" s="399">
        <f>+'E-tjen-oversigt'!D18</f>
        <v>1</v>
      </c>
      <c r="G70" s="80">
        <v>0</v>
      </c>
      <c r="H70" s="400">
        <f>+Effektiviseringer!G15</f>
        <v>0.23990379622210423</v>
      </c>
      <c r="I70" s="400">
        <f>+Effektiviseringer!J15</f>
        <v>0.30025260992810354</v>
      </c>
      <c r="J70" s="400">
        <f>+Effektiviseringer!M15</f>
        <v>0.34735105041435088</v>
      </c>
      <c r="K70" s="867">
        <f t="shared" si="28"/>
        <v>0.90866596488593687</v>
      </c>
      <c r="L70" s="867">
        <f t="shared" si="28"/>
        <v>0.69067355041197931</v>
      </c>
      <c r="M70" s="867">
        <f t="shared" si="28"/>
        <v>0.63583663737609586</v>
      </c>
      <c r="N70" s="868">
        <f t="shared" si="28"/>
        <v>0.59303988750703707</v>
      </c>
      <c r="O70" s="61">
        <v>0</v>
      </c>
      <c r="P70" s="400">
        <f>+Effektiviseringer!H15</f>
        <v>0.41825878787702897</v>
      </c>
      <c r="Q70" s="400">
        <f>+Effektiviseringer!K15</f>
        <v>0.53212806550304403</v>
      </c>
      <c r="R70" s="400">
        <f>+Effektiviseringer!N15</f>
        <v>0.62332786517235772</v>
      </c>
      <c r="S70" s="522">
        <f t="shared" si="30"/>
        <v>1.1080369326386137</v>
      </c>
      <c r="T70" s="522">
        <f t="shared" si="29"/>
        <v>0.6445907482702059</v>
      </c>
      <c r="U70" s="522">
        <f t="shared" si="29"/>
        <v>0.51841938316770142</v>
      </c>
      <c r="V70" s="522">
        <f t="shared" si="29"/>
        <v>0.41736663688485909</v>
      </c>
    </row>
    <row r="71" spans="1:22" ht="15.75" thickBot="1" x14ac:dyDescent="0.3">
      <c r="A71" s="63"/>
      <c r="B71" s="8"/>
      <c r="C71" s="8"/>
      <c r="D71" s="8"/>
      <c r="E71" s="8"/>
      <c r="L71" s="41"/>
    </row>
    <row r="72" spans="1:22" ht="18" x14ac:dyDescent="0.25">
      <c r="A72" s="82" t="s">
        <v>84</v>
      </c>
      <c r="B72" s="213"/>
      <c r="C72" s="213"/>
      <c r="D72" s="213"/>
      <c r="E72" s="8"/>
      <c r="L72" s="18"/>
    </row>
    <row r="73" spans="1:22" x14ac:dyDescent="0.25">
      <c r="A73" s="83"/>
      <c r="B73" s="566" t="s">
        <v>85</v>
      </c>
      <c r="C73" s="566"/>
      <c r="D73" s="566"/>
      <c r="E73" s="8"/>
    </row>
    <row r="74" spans="1:22" x14ac:dyDescent="0.25">
      <c r="A74" s="83"/>
      <c r="B74" s="214">
        <v>2011</v>
      </c>
      <c r="C74" s="214">
        <v>2035</v>
      </c>
      <c r="D74" s="214">
        <v>2050</v>
      </c>
      <c r="E74" s="8"/>
    </row>
    <row r="75" spans="1:22" x14ac:dyDescent="0.25">
      <c r="A75" s="12" t="s">
        <v>45</v>
      </c>
      <c r="B75" s="188">
        <f>+'2011'!F7</f>
        <v>0.18884156518799999</v>
      </c>
      <c r="C75" s="188">
        <f>+B75</f>
        <v>0.18884156518799999</v>
      </c>
      <c r="D75" s="188">
        <f>+B75</f>
        <v>0.18884156518799999</v>
      </c>
    </row>
    <row r="76" spans="1:22" ht="15.75" thickBot="1" x14ac:dyDescent="0.3">
      <c r="A76" s="13"/>
      <c r="B76" s="199"/>
      <c r="C76" s="199"/>
      <c r="D76" s="199"/>
    </row>
    <row r="77" spans="1:22" x14ac:dyDescent="0.25">
      <c r="A77" s="18"/>
      <c r="B77" s="21"/>
      <c r="C77" s="21"/>
      <c r="D77" s="21"/>
    </row>
    <row r="78" spans="1:22" x14ac:dyDescent="0.25">
      <c r="A78" s="18"/>
      <c r="B78" s="21"/>
      <c r="C78" s="21"/>
      <c r="D78" s="21"/>
    </row>
    <row r="79" spans="1:22" ht="19.5" thickBot="1" x14ac:dyDescent="0.35">
      <c r="A79" s="680">
        <v>2035</v>
      </c>
    </row>
    <row r="80" spans="1:22" x14ac:dyDescent="0.25">
      <c r="A80" s="227" t="s">
        <v>0</v>
      </c>
      <c r="B80" s="228" t="s">
        <v>2</v>
      </c>
      <c r="C80" s="229" t="s">
        <v>139</v>
      </c>
      <c r="D80" s="229" t="s">
        <v>3</v>
      </c>
      <c r="E80" s="229" t="s">
        <v>140</v>
      </c>
      <c r="F80" s="229" t="s">
        <v>141</v>
      </c>
      <c r="G80" s="229" t="s">
        <v>4</v>
      </c>
      <c r="H80" s="229" t="s">
        <v>5</v>
      </c>
      <c r="I80" s="229" t="s">
        <v>6</v>
      </c>
      <c r="J80" s="581" t="s">
        <v>7</v>
      </c>
      <c r="K80" s="582"/>
      <c r="L80" s="582"/>
      <c r="M80" s="582"/>
      <c r="N80" s="582"/>
      <c r="O80" s="582"/>
      <c r="P80" s="228" t="s">
        <v>8</v>
      </c>
      <c r="Q80" s="229" t="s">
        <v>9</v>
      </c>
      <c r="R80" s="229" t="s">
        <v>10</v>
      </c>
      <c r="S80" s="230"/>
      <c r="T80" s="285" t="s">
        <v>34</v>
      </c>
    </row>
    <row r="81" spans="1:20" x14ac:dyDescent="0.25">
      <c r="A81" s="231"/>
      <c r="B81" s="232"/>
      <c r="C81" s="233"/>
      <c r="D81" s="233" t="s">
        <v>128</v>
      </c>
      <c r="E81" s="233"/>
      <c r="F81" s="233" t="s">
        <v>142</v>
      </c>
      <c r="G81" s="233"/>
      <c r="H81" s="233"/>
      <c r="I81" s="233"/>
      <c r="J81" s="234" t="s">
        <v>129</v>
      </c>
      <c r="K81" s="235" t="s">
        <v>130</v>
      </c>
      <c r="L81" s="235" t="s">
        <v>131</v>
      </c>
      <c r="M81" s="235" t="s">
        <v>132</v>
      </c>
      <c r="N81" s="235" t="s">
        <v>133</v>
      </c>
      <c r="O81" s="235" t="s">
        <v>134</v>
      </c>
      <c r="P81" s="232"/>
      <c r="Q81" s="233"/>
      <c r="R81" s="233"/>
      <c r="S81" s="236"/>
      <c r="T81" s="286"/>
    </row>
    <row r="82" spans="1:20" x14ac:dyDescent="0.25">
      <c r="A82" s="237" t="s">
        <v>1</v>
      </c>
      <c r="B82" s="238" t="s">
        <v>11</v>
      </c>
      <c r="C82" s="239"/>
      <c r="D82" s="239" t="s">
        <v>12</v>
      </c>
      <c r="E82" s="239"/>
      <c r="F82" s="239"/>
      <c r="G82" s="239" t="s">
        <v>13</v>
      </c>
      <c r="H82" s="239" t="s">
        <v>14</v>
      </c>
      <c r="I82" s="239" t="s">
        <v>15</v>
      </c>
      <c r="J82" s="240" t="s">
        <v>16</v>
      </c>
      <c r="K82" s="241" t="s">
        <v>17</v>
      </c>
      <c r="L82" s="241"/>
      <c r="M82" s="241" t="s">
        <v>18</v>
      </c>
      <c r="N82" s="241"/>
      <c r="O82" s="241"/>
      <c r="P82" s="238" t="s">
        <v>19</v>
      </c>
      <c r="Q82" s="239" t="s">
        <v>20</v>
      </c>
      <c r="R82" s="239" t="s">
        <v>21</v>
      </c>
      <c r="S82" s="242"/>
      <c r="T82" s="287"/>
    </row>
    <row r="83" spans="1:20" x14ac:dyDescent="0.25">
      <c r="A83" s="231" t="s">
        <v>136</v>
      </c>
      <c r="B83" s="18"/>
      <c r="C83" s="18"/>
      <c r="D83" s="18"/>
      <c r="E83" s="18"/>
      <c r="F83" s="41">
        <f>+$C$75</f>
        <v>0.18884156518799999</v>
      </c>
      <c r="G83" s="18"/>
      <c r="H83" s="18"/>
      <c r="I83" s="18"/>
      <c r="J83" s="18"/>
      <c r="K83" s="18"/>
      <c r="L83" s="18"/>
      <c r="M83" s="18"/>
      <c r="N83" s="18"/>
      <c r="O83" s="18"/>
      <c r="P83" s="41">
        <f>+K48</f>
        <v>75.560711558794708</v>
      </c>
      <c r="Q83" s="41">
        <f>+L48</f>
        <v>70.01117464504415</v>
      </c>
      <c r="R83" s="41">
        <f>+K65</f>
        <v>38.769020054425006</v>
      </c>
      <c r="S83" s="18"/>
      <c r="T83" s="141">
        <f>+SUM(B83:R83)</f>
        <v>184.52974782345186</v>
      </c>
    </row>
    <row r="84" spans="1:20" x14ac:dyDescent="0.25">
      <c r="A84" s="231" t="s">
        <v>54</v>
      </c>
      <c r="B84" s="18"/>
      <c r="C84" s="18"/>
      <c r="D84" s="8"/>
      <c r="E84" s="8"/>
      <c r="F84" s="41">
        <f t="shared" ref="F84:F86" si="31">+$C$75</f>
        <v>0.18884156518799999</v>
      </c>
      <c r="G84" s="18"/>
      <c r="H84" s="18"/>
      <c r="I84" s="18"/>
      <c r="J84" s="18"/>
      <c r="K84" s="18"/>
      <c r="L84" s="18"/>
      <c r="M84" s="18"/>
      <c r="N84" s="18"/>
      <c r="O84" s="18"/>
      <c r="P84" s="41">
        <f t="shared" ref="P84:P86" si="32">+K49</f>
        <v>61.290672303948753</v>
      </c>
      <c r="Q84" s="41">
        <f t="shared" ref="Q84:Q86" si="33">+L49</f>
        <v>57.744857713806709</v>
      </c>
      <c r="R84" s="41">
        <f>+L65</f>
        <v>31.146548620021143</v>
      </c>
      <c r="S84" s="18"/>
      <c r="T84" s="141">
        <f t="shared" ref="T84:T86" si="34">+SUM(B84:R84)</f>
        <v>150.37092020296461</v>
      </c>
    </row>
    <row r="85" spans="1:20" x14ac:dyDescent="0.25">
      <c r="A85" s="231" t="s">
        <v>215</v>
      </c>
      <c r="B85" s="18"/>
      <c r="C85" s="18"/>
      <c r="D85" s="8"/>
      <c r="E85" s="8"/>
      <c r="F85" s="41">
        <f t="shared" si="31"/>
        <v>0.18884156518799999</v>
      </c>
      <c r="G85" s="18"/>
      <c r="H85" s="18"/>
      <c r="I85" s="18"/>
      <c r="J85" s="18"/>
      <c r="K85" s="18"/>
      <c r="L85" s="18"/>
      <c r="M85" s="18"/>
      <c r="N85" s="18"/>
      <c r="O85" s="18"/>
      <c r="P85" s="41">
        <f t="shared" si="32"/>
        <v>58.428685987022881</v>
      </c>
      <c r="Q85" s="41">
        <f t="shared" si="33"/>
        <v>54.978017242129553</v>
      </c>
      <c r="R85" s="41">
        <f>+M65</f>
        <v>28.98814941262977</v>
      </c>
      <c r="S85" s="18"/>
      <c r="T85" s="141">
        <f t="shared" si="34"/>
        <v>142.58369420697022</v>
      </c>
    </row>
    <row r="86" spans="1:20" ht="15.75" thickBot="1" x14ac:dyDescent="0.3">
      <c r="A86" s="243" t="s">
        <v>119</v>
      </c>
      <c r="B86" s="34"/>
      <c r="C86" s="34"/>
      <c r="D86" s="399"/>
      <c r="E86" s="399"/>
      <c r="F86" s="41">
        <f t="shared" si="31"/>
        <v>0.18884156518799999</v>
      </c>
      <c r="G86" s="34"/>
      <c r="H86" s="34"/>
      <c r="I86" s="34"/>
      <c r="J86" s="34"/>
      <c r="K86" s="34"/>
      <c r="L86" s="34"/>
      <c r="M86" s="34"/>
      <c r="N86" s="34"/>
      <c r="O86" s="34"/>
      <c r="P86" s="41">
        <f t="shared" si="32"/>
        <v>54.457044381370991</v>
      </c>
      <c r="Q86" s="41">
        <f t="shared" si="33"/>
        <v>51.138411626782677</v>
      </c>
      <c r="R86" s="46">
        <f>+N65</f>
        <v>27.258843840298443</v>
      </c>
      <c r="S86" s="34"/>
      <c r="T86" s="315">
        <f t="shared" si="34"/>
        <v>133.04314141364011</v>
      </c>
    </row>
    <row r="87" spans="1:20" x14ac:dyDescent="0.25">
      <c r="A87" s="21"/>
      <c r="B87" s="18"/>
      <c r="C87" s="18"/>
      <c r="D87" s="8"/>
      <c r="E87" s="8"/>
      <c r="F87" s="41"/>
      <c r="G87" s="18"/>
      <c r="H87" s="18"/>
      <c r="I87" s="18"/>
      <c r="J87" s="18"/>
      <c r="K87" s="18"/>
      <c r="L87" s="18"/>
      <c r="M87" s="18"/>
      <c r="N87" s="18"/>
      <c r="O87" s="18"/>
      <c r="P87" s="41"/>
      <c r="Q87" s="41"/>
      <c r="R87" s="41"/>
      <c r="S87" s="18"/>
      <c r="T87" s="43"/>
    </row>
    <row r="88" spans="1:20" ht="19.5" thickBot="1" x14ac:dyDescent="0.35">
      <c r="A88" s="681">
        <f>+C2</f>
        <v>2050</v>
      </c>
    </row>
    <row r="89" spans="1:20" x14ac:dyDescent="0.25">
      <c r="A89" s="227" t="s">
        <v>0</v>
      </c>
      <c r="B89" s="228" t="s">
        <v>2</v>
      </c>
      <c r="C89" s="229" t="s">
        <v>139</v>
      </c>
      <c r="D89" s="229" t="s">
        <v>3</v>
      </c>
      <c r="E89" s="229" t="s">
        <v>140</v>
      </c>
      <c r="F89" s="229" t="s">
        <v>141</v>
      </c>
      <c r="G89" s="229" t="s">
        <v>4</v>
      </c>
      <c r="H89" s="229" t="s">
        <v>5</v>
      </c>
      <c r="I89" s="229" t="s">
        <v>6</v>
      </c>
      <c r="J89" s="564" t="s">
        <v>7</v>
      </c>
      <c r="K89" s="565"/>
      <c r="L89" s="565"/>
      <c r="M89" s="565"/>
      <c r="N89" s="565"/>
      <c r="O89" s="565"/>
      <c r="P89" s="228" t="s">
        <v>8</v>
      </c>
      <c r="Q89" s="229" t="s">
        <v>9</v>
      </c>
      <c r="R89" s="229" t="s">
        <v>10</v>
      </c>
      <c r="S89" s="230"/>
      <c r="T89" s="285" t="s">
        <v>34</v>
      </c>
    </row>
    <row r="90" spans="1:20" x14ac:dyDescent="0.25">
      <c r="A90" s="231"/>
      <c r="B90" s="232"/>
      <c r="C90" s="233"/>
      <c r="D90" s="233" t="s">
        <v>128</v>
      </c>
      <c r="E90" s="233"/>
      <c r="F90" s="233" t="s">
        <v>142</v>
      </c>
      <c r="G90" s="233"/>
      <c r="H90" s="233"/>
      <c r="I90" s="233"/>
      <c r="J90" s="234" t="s">
        <v>129</v>
      </c>
      <c r="K90" s="235" t="s">
        <v>130</v>
      </c>
      <c r="L90" s="235" t="s">
        <v>131</v>
      </c>
      <c r="M90" s="235" t="s">
        <v>132</v>
      </c>
      <c r="N90" s="235" t="s">
        <v>133</v>
      </c>
      <c r="O90" s="235" t="s">
        <v>134</v>
      </c>
      <c r="P90" s="232"/>
      <c r="Q90" s="233"/>
      <c r="R90" s="233"/>
      <c r="S90" s="236"/>
      <c r="T90" s="286"/>
    </row>
    <row r="91" spans="1:20" x14ac:dyDescent="0.25">
      <c r="A91" s="237" t="s">
        <v>1</v>
      </c>
      <c r="B91" s="238" t="s">
        <v>11</v>
      </c>
      <c r="C91" s="239"/>
      <c r="D91" s="239" t="s">
        <v>12</v>
      </c>
      <c r="E91" s="239"/>
      <c r="F91" s="239"/>
      <c r="G91" s="239" t="s">
        <v>13</v>
      </c>
      <c r="H91" s="239" t="s">
        <v>14</v>
      </c>
      <c r="I91" s="239" t="s">
        <v>15</v>
      </c>
      <c r="J91" s="240" t="s">
        <v>16</v>
      </c>
      <c r="K91" s="241" t="s">
        <v>17</v>
      </c>
      <c r="L91" s="241"/>
      <c r="M91" s="241" t="s">
        <v>18</v>
      </c>
      <c r="N91" s="241"/>
      <c r="O91" s="241"/>
      <c r="P91" s="238" t="s">
        <v>19</v>
      </c>
      <c r="Q91" s="239" t="s">
        <v>20</v>
      </c>
      <c r="R91" s="239" t="s">
        <v>21</v>
      </c>
      <c r="S91" s="242"/>
      <c r="T91" s="287"/>
    </row>
    <row r="92" spans="1:20" x14ac:dyDescent="0.25">
      <c r="A92" s="231" t="s">
        <v>136</v>
      </c>
      <c r="B92" s="18"/>
      <c r="C92" s="18"/>
      <c r="D92" s="18"/>
      <c r="E92" s="18"/>
      <c r="F92" s="41">
        <f>+C75</f>
        <v>0.18884156518799999</v>
      </c>
      <c r="G92" s="18"/>
      <c r="H92" s="18"/>
      <c r="I92" s="18"/>
      <c r="J92" s="18"/>
      <c r="K92" s="18"/>
      <c r="L92" s="18"/>
      <c r="M92" s="18"/>
      <c r="N92" s="18"/>
      <c r="O92" s="18"/>
      <c r="P92" s="41">
        <f>+P48</f>
        <v>74.236280486846084</v>
      </c>
      <c r="Q92" s="41">
        <f>+Q48</f>
        <v>72.863711966685344</v>
      </c>
      <c r="R92" s="41">
        <f>+S65</f>
        <v>43.61581202671811</v>
      </c>
      <c r="S92" s="18"/>
      <c r="T92" s="141">
        <f>+SUM(B92:R92)</f>
        <v>190.90464604543754</v>
      </c>
    </row>
    <row r="93" spans="1:20" x14ac:dyDescent="0.25">
      <c r="A93" s="231" t="s">
        <v>54</v>
      </c>
      <c r="B93" s="18"/>
      <c r="C93" s="18"/>
      <c r="D93" s="8"/>
      <c r="E93" s="8"/>
      <c r="F93" s="41">
        <f>+C75</f>
        <v>0.18884156518799999</v>
      </c>
      <c r="G93" s="18"/>
      <c r="H93" s="18"/>
      <c r="I93" s="18"/>
      <c r="J93" s="18"/>
      <c r="K93" s="18"/>
      <c r="L93" s="18"/>
      <c r="M93" s="18"/>
      <c r="N93" s="18"/>
      <c r="O93" s="18"/>
      <c r="P93" s="41">
        <f t="shared" ref="P93:Q93" si="35">+P49</f>
        <v>50.962851201815937</v>
      </c>
      <c r="Q93" s="41">
        <f t="shared" si="35"/>
        <v>51.219634839127181</v>
      </c>
      <c r="R93" s="41">
        <f>+T65</f>
        <v>28.756128710033501</v>
      </c>
      <c r="S93" s="18"/>
      <c r="T93" s="141">
        <f t="shared" ref="T93:T95" si="36">+SUM(B93:R93)</f>
        <v>131.12745631616463</v>
      </c>
    </row>
    <row r="94" spans="1:20" x14ac:dyDescent="0.25">
      <c r="A94" s="231" t="s">
        <v>215</v>
      </c>
      <c r="B94" s="18"/>
      <c r="C94" s="18"/>
      <c r="D94" s="8"/>
      <c r="E94" s="8"/>
      <c r="F94" s="41">
        <f>+C75</f>
        <v>0.18884156518799999</v>
      </c>
      <c r="G94" s="18"/>
      <c r="H94" s="18"/>
      <c r="I94" s="18"/>
      <c r="J94" s="18"/>
      <c r="K94" s="18"/>
      <c r="L94" s="18"/>
      <c r="M94" s="18"/>
      <c r="N94" s="18"/>
      <c r="O94" s="18"/>
      <c r="P94" s="41">
        <f t="shared" ref="P94:Q94" si="37">+P50</f>
        <v>46.286654385320205</v>
      </c>
      <c r="Q94" s="41">
        <f t="shared" si="37"/>
        <v>46.309534640540818</v>
      </c>
      <c r="R94" s="41">
        <f>+U65</f>
        <v>24.069761266802349</v>
      </c>
      <c r="S94" s="18"/>
      <c r="T94" s="141">
        <f t="shared" si="36"/>
        <v>116.85479185785137</v>
      </c>
    </row>
    <row r="95" spans="1:20" ht="15.75" thickBot="1" x14ac:dyDescent="0.3">
      <c r="A95" s="243" t="s">
        <v>119</v>
      </c>
      <c r="B95" s="34"/>
      <c r="C95" s="34"/>
      <c r="D95" s="399"/>
      <c r="E95" s="399"/>
      <c r="F95" s="46">
        <f>+C75</f>
        <v>0.18884156518799999</v>
      </c>
      <c r="G95" s="34"/>
      <c r="H95" s="34"/>
      <c r="I95" s="34"/>
      <c r="J95" s="34"/>
      <c r="K95" s="34"/>
      <c r="L95" s="34"/>
      <c r="M95" s="34"/>
      <c r="N95" s="34"/>
      <c r="O95" s="34"/>
      <c r="P95" s="41">
        <f t="shared" ref="P95:Q95" si="38">+P51</f>
        <v>39.625689592938883</v>
      </c>
      <c r="Q95" s="41">
        <f t="shared" si="38"/>
        <v>39.315388364559759</v>
      </c>
      <c r="R95" s="46">
        <f>+V65</f>
        <v>20.343180699244311</v>
      </c>
      <c r="S95" s="34"/>
      <c r="T95" s="315">
        <f t="shared" si="36"/>
        <v>99.473100221930949</v>
      </c>
    </row>
    <row r="96" spans="1:20" x14ac:dyDescent="0.25">
      <c r="D96" s="9"/>
      <c r="E96" s="9"/>
    </row>
    <row r="97" spans="4:5" x14ac:dyDescent="0.25">
      <c r="D97" s="9"/>
      <c r="E97" s="9"/>
    </row>
    <row r="98" spans="4:5" x14ac:dyDescent="0.25">
      <c r="D98" s="9"/>
      <c r="E98" s="9"/>
    </row>
    <row r="99" spans="4:5" x14ac:dyDescent="0.25">
      <c r="D99" s="9"/>
      <c r="E99" s="9"/>
    </row>
    <row r="100" spans="4:5" x14ac:dyDescent="0.25">
      <c r="D100" s="9"/>
      <c r="E100" s="9"/>
    </row>
    <row r="101" spans="4:5" x14ac:dyDescent="0.25">
      <c r="D101" s="9"/>
      <c r="E101" s="9"/>
    </row>
    <row r="102" spans="4:5" x14ac:dyDescent="0.25">
      <c r="D102" s="8"/>
      <c r="E102" s="8"/>
    </row>
    <row r="103" spans="4:5" x14ac:dyDescent="0.25">
      <c r="D103" s="10"/>
      <c r="E103" s="10"/>
    </row>
    <row r="104" spans="4:5" x14ac:dyDescent="0.25">
      <c r="D104" s="10"/>
      <c r="E104" s="10"/>
    </row>
    <row r="105" spans="4:5" x14ac:dyDescent="0.25">
      <c r="D105" s="10"/>
      <c r="E105" s="10"/>
    </row>
    <row r="106" spans="4:5" x14ac:dyDescent="0.25">
      <c r="D106" s="10"/>
      <c r="E106" s="10"/>
    </row>
    <row r="107" spans="4:5" x14ac:dyDescent="0.25">
      <c r="D107" s="10"/>
      <c r="E107" s="10"/>
    </row>
    <row r="108" spans="4:5" x14ac:dyDescent="0.25">
      <c r="D108" s="10"/>
      <c r="E108" s="10"/>
    </row>
    <row r="109" spans="4:5" x14ac:dyDescent="0.25">
      <c r="D109" s="9"/>
      <c r="E109" s="9"/>
    </row>
    <row r="110" spans="4:5" x14ac:dyDescent="0.25">
      <c r="D110" s="9"/>
      <c r="E110" s="9"/>
    </row>
    <row r="111" spans="4:5" x14ac:dyDescent="0.25">
      <c r="D111" s="9"/>
      <c r="E111" s="9"/>
    </row>
    <row r="112" spans="4:5" x14ac:dyDescent="0.25">
      <c r="D112" s="9"/>
      <c r="E112" s="9"/>
    </row>
    <row r="113" spans="4:5" x14ac:dyDescent="0.25">
      <c r="D113" s="9"/>
      <c r="E113" s="9"/>
    </row>
    <row r="114" spans="4:5" x14ac:dyDescent="0.25">
      <c r="D114" s="8"/>
      <c r="E114" s="8"/>
    </row>
  </sheetData>
  <mergeCells count="5">
    <mergeCell ref="B61:C61"/>
    <mergeCell ref="B62:C62"/>
    <mergeCell ref="D61:E61"/>
    <mergeCell ref="D62:E62"/>
    <mergeCell ref="D63:E6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52"/>
  <sheetViews>
    <sheetView topLeftCell="C115" zoomScale="90" zoomScaleNormal="90" workbookViewId="0">
      <selection activeCell="V35" sqref="V35"/>
    </sheetView>
  </sheetViews>
  <sheetFormatPr defaultRowHeight="15" x14ac:dyDescent="0.25"/>
  <cols>
    <col min="1" max="1" width="44" customWidth="1"/>
    <col min="2" max="2" width="12.5703125" bestFit="1" customWidth="1"/>
    <col min="4" max="4" width="12" customWidth="1"/>
    <col min="11" max="11" width="10.140625" customWidth="1"/>
    <col min="12" max="12" width="12" customWidth="1"/>
  </cols>
  <sheetData>
    <row r="1" spans="1:14" ht="18.75" x14ac:dyDescent="0.3">
      <c r="A1" s="6" t="s">
        <v>86</v>
      </c>
      <c r="B1">
        <f>+'Øvr forudsæt'!C63</f>
        <v>2035</v>
      </c>
      <c r="C1">
        <f>+'Øvr forudsæt'!D63</f>
        <v>2050</v>
      </c>
    </row>
    <row r="2" spans="1:14" x14ac:dyDescent="0.25">
      <c r="A2" t="s">
        <v>261</v>
      </c>
      <c r="B2">
        <f>+'Øvr forudsæt'!C65</f>
        <v>24</v>
      </c>
      <c r="C2">
        <f>+'Øvr forudsæt'!D65</f>
        <v>39</v>
      </c>
    </row>
    <row r="3" spans="1:14" x14ac:dyDescent="0.25">
      <c r="A3" t="s">
        <v>174</v>
      </c>
    </row>
    <row r="4" spans="1:14" ht="19.5" thickBot="1" x14ac:dyDescent="0.35">
      <c r="A4" s="6"/>
    </row>
    <row r="5" spans="1:14" ht="16.5" thickBot="1" x14ac:dyDescent="0.3">
      <c r="G5" s="24" t="s">
        <v>64</v>
      </c>
      <c r="H5" s="25"/>
      <c r="I5" s="25"/>
      <c r="J5" s="25"/>
      <c r="K5" s="25"/>
      <c r="L5" s="25"/>
      <c r="M5" s="25"/>
      <c r="N5" s="26"/>
    </row>
    <row r="6" spans="1:14" ht="15.75" x14ac:dyDescent="0.25">
      <c r="A6" s="24" t="s">
        <v>57</v>
      </c>
      <c r="B6" s="18"/>
      <c r="C6" s="18"/>
      <c r="G6" s="27" t="s">
        <v>63</v>
      </c>
      <c r="H6" s="18"/>
      <c r="I6" s="18"/>
      <c r="J6" s="18"/>
      <c r="K6" s="18"/>
      <c r="L6" s="584" t="s">
        <v>283</v>
      </c>
      <c r="M6" s="18"/>
      <c r="N6" s="585" t="s">
        <v>283</v>
      </c>
    </row>
    <row r="7" spans="1:14" x14ac:dyDescent="0.25">
      <c r="A7" s="29"/>
      <c r="B7" s="11">
        <v>2011</v>
      </c>
      <c r="C7" s="11">
        <f>+B1</f>
        <v>2035</v>
      </c>
      <c r="D7" s="11">
        <f>+C1</f>
        <v>2050</v>
      </c>
      <c r="E7" s="5"/>
      <c r="G7" s="29"/>
      <c r="H7" s="516"/>
      <c r="I7" s="11" t="s">
        <v>280</v>
      </c>
      <c r="J7" s="11" t="s">
        <v>58</v>
      </c>
      <c r="K7" s="11" t="s">
        <v>281</v>
      </c>
      <c r="L7" s="64">
        <v>2035</v>
      </c>
      <c r="M7" s="11" t="s">
        <v>282</v>
      </c>
      <c r="N7" s="635">
        <f>+C1</f>
        <v>2050</v>
      </c>
    </row>
    <row r="8" spans="1:14" x14ac:dyDescent="0.25">
      <c r="A8" s="12" t="s">
        <v>276</v>
      </c>
      <c r="B8" s="517">
        <f>+'[1]H&amp;S- opvarmning'!$B$5</f>
        <v>121.7</v>
      </c>
      <c r="C8" s="20">
        <f>+B8*(1+'E-tjen-oversigt'!D21)^'H&amp;S'!B2</f>
        <v>158.91846153846174</v>
      </c>
      <c r="D8" s="896">
        <f>+B8*(1+'E-tjen-oversigt'!F21)^'H&amp;S'!C2</f>
        <v>182.18000000000018</v>
      </c>
      <c r="E8" s="897" t="s">
        <v>359</v>
      </c>
      <c r="G8" s="27" t="s">
        <v>284</v>
      </c>
      <c r="H8" s="517"/>
      <c r="I8" s="20">
        <f>+$C$12</f>
        <v>1.8043108974359059</v>
      </c>
      <c r="J8" s="20">
        <f t="shared" ref="J8:K8" si="0">+$C$12</f>
        <v>1.8043108974359059</v>
      </c>
      <c r="K8" s="20">
        <f t="shared" si="0"/>
        <v>1.8043108974359059</v>
      </c>
      <c r="L8" s="43">
        <f>+I8*I9+J8*J9+K8*K9</f>
        <v>43.303461538461747</v>
      </c>
      <c r="M8" s="20">
        <f>+D12</f>
        <v>1.9564358974358957</v>
      </c>
      <c r="N8" s="515">
        <f>+L8+M8*M9</f>
        <v>72.650000000000176</v>
      </c>
    </row>
    <row r="9" spans="1:14" x14ac:dyDescent="0.25">
      <c r="A9" s="12" t="s">
        <v>278</v>
      </c>
      <c r="B9" s="626"/>
      <c r="C9" s="396">
        <f>+C8-B8</f>
        <v>37.218461538461739</v>
      </c>
      <c r="D9" s="57">
        <f>+D8-B8</f>
        <v>60.480000000000175</v>
      </c>
      <c r="E9">
        <f>+C2*'E-tjen-forudsæt'!E45:F45</f>
        <v>60.47999999999999</v>
      </c>
      <c r="G9" s="27" t="s">
        <v>217</v>
      </c>
      <c r="H9" s="517"/>
      <c r="I9" s="20">
        <v>4</v>
      </c>
      <c r="J9" s="20">
        <v>5</v>
      </c>
      <c r="K9" s="20">
        <v>15</v>
      </c>
      <c r="L9" s="43">
        <f>SUM(I9:K9)</f>
        <v>24</v>
      </c>
      <c r="M9" s="20">
        <v>15</v>
      </c>
      <c r="N9" s="515">
        <f>+L9+M9</f>
        <v>39</v>
      </c>
    </row>
    <row r="10" spans="1:14" x14ac:dyDescent="0.25">
      <c r="A10" s="12" t="s">
        <v>358</v>
      </c>
      <c r="B10" s="626"/>
      <c r="C10" s="20">
        <f>+$B$8*'Øvr forudsæt'!C16</f>
        <v>6.0850000000000009</v>
      </c>
      <c r="D10" s="20">
        <f>+$B$8*'Øvr forudsæt'!D16</f>
        <v>12.170000000000002</v>
      </c>
      <c r="G10" s="392" t="s">
        <v>65</v>
      </c>
      <c r="H10" s="518"/>
      <c r="I10" s="18"/>
      <c r="J10" s="18"/>
      <c r="K10" s="18"/>
      <c r="L10" s="18"/>
      <c r="M10" s="18"/>
      <c r="N10" s="28"/>
    </row>
    <row r="11" spans="1:14" x14ac:dyDescent="0.25">
      <c r="A11" s="12" t="s">
        <v>277</v>
      </c>
      <c r="B11" s="624"/>
      <c r="C11" s="627">
        <f>+C9+C10</f>
        <v>43.30346153846174</v>
      </c>
      <c r="D11" s="627">
        <f>+D9+D10</f>
        <v>72.650000000000176</v>
      </c>
      <c r="G11" s="27" t="s">
        <v>54</v>
      </c>
      <c r="H11" s="514"/>
      <c r="I11" s="58">
        <f>+'Øvr forudsæt'!E46</f>
        <v>22.416319444444444</v>
      </c>
      <c r="J11" s="58">
        <f>+'Øvr forudsæt'!F46</f>
        <v>12.909722222222221</v>
      </c>
      <c r="K11" s="58">
        <f>+'Øvr forudsæt'!G46</f>
        <v>7.6388888888888893</v>
      </c>
      <c r="L11" s="18"/>
      <c r="M11" s="58">
        <f>+'Øvr forudsæt'!G46</f>
        <v>7.6388888888888893</v>
      </c>
      <c r="N11" s="28"/>
    </row>
    <row r="12" spans="1:14" ht="15.75" thickBot="1" x14ac:dyDescent="0.3">
      <c r="A12" s="38" t="s">
        <v>61</v>
      </c>
      <c r="B12" s="626"/>
      <c r="C12" s="20">
        <f>+C11/B2</f>
        <v>1.8043108974359059</v>
      </c>
      <c r="D12" s="20">
        <f>+(D11-C11)/(C2-B2)</f>
        <v>1.9564358974358957</v>
      </c>
      <c r="G12" s="27" t="s">
        <v>218</v>
      </c>
      <c r="H12" s="514"/>
      <c r="I12" s="43">
        <f>+'Øvr forudsæt'!E51</f>
        <v>22.416319444444444</v>
      </c>
      <c r="J12" s="43">
        <f>+'Øvr forudsæt'!F51</f>
        <v>12.909722222222221</v>
      </c>
      <c r="K12" s="43">
        <f>+'Øvr forudsæt'!G51</f>
        <v>7.6388888888888893</v>
      </c>
      <c r="L12" s="18"/>
      <c r="M12" s="43">
        <f>+'Øvr forudsæt'!G51</f>
        <v>7.6388888888888893</v>
      </c>
      <c r="N12" s="28"/>
    </row>
    <row r="13" spans="1:14" x14ac:dyDescent="0.25">
      <c r="B13" s="20"/>
      <c r="C13" s="20"/>
      <c r="G13" s="12"/>
      <c r="H13" s="519"/>
      <c r="I13" s="18"/>
      <c r="J13" s="18"/>
      <c r="K13" s="18"/>
      <c r="L13" s="18"/>
      <c r="M13" s="18"/>
      <c r="N13" s="28"/>
    </row>
    <row r="14" spans="1:14" ht="15.75" thickBot="1" x14ac:dyDescent="0.3">
      <c r="A14" s="38"/>
      <c r="B14" s="40"/>
      <c r="C14" s="20"/>
      <c r="G14" s="392" t="s">
        <v>67</v>
      </c>
      <c r="H14" s="519"/>
      <c r="I14" s="18"/>
      <c r="J14" s="18"/>
      <c r="K14" s="18"/>
      <c r="L14" s="18"/>
      <c r="M14" s="18"/>
      <c r="N14" s="143" t="s">
        <v>34</v>
      </c>
    </row>
    <row r="15" spans="1:14" ht="15.75" x14ac:dyDescent="0.25">
      <c r="A15" s="49" t="s">
        <v>68</v>
      </c>
      <c r="B15" s="51"/>
      <c r="C15" s="20"/>
      <c r="G15" s="27" t="s">
        <v>54</v>
      </c>
      <c r="H15" s="520"/>
      <c r="I15" s="41">
        <f>+I11*I$8*I$9/100</f>
        <v>1.6178403781606201</v>
      </c>
      <c r="J15" s="41">
        <f t="shared" ref="J15:K15" si="1">+J11*J$8*J$9/100</f>
        <v>1.1646576244213016</v>
      </c>
      <c r="K15" s="41">
        <f t="shared" si="1"/>
        <v>2.0674395699786423</v>
      </c>
      <c r="L15" s="41">
        <f>SUM(I15:K15)</f>
        <v>4.849937572560564</v>
      </c>
      <c r="M15" s="41">
        <f>+M11*M$8*M$9/100</f>
        <v>2.2417494658119641</v>
      </c>
      <c r="N15" s="44">
        <f>+L15+M15</f>
        <v>7.0916870383725286</v>
      </c>
    </row>
    <row r="16" spans="1:14" ht="15.75" thickBot="1" x14ac:dyDescent="0.3">
      <c r="A16" s="52"/>
      <c r="B16" s="36" t="s">
        <v>34</v>
      </c>
      <c r="C16" s="20"/>
      <c r="G16" s="33" t="s">
        <v>218</v>
      </c>
      <c r="H16" s="521"/>
      <c r="I16" s="46">
        <f>+I12*I$8*I$9/100</f>
        <v>1.6178403781606201</v>
      </c>
      <c r="J16" s="46">
        <f t="shared" ref="J16:K16" si="2">+J12*J$8*J$9/100</f>
        <v>1.1646576244213016</v>
      </c>
      <c r="K16" s="46">
        <f t="shared" si="2"/>
        <v>2.0674395699786423</v>
      </c>
      <c r="L16" s="46">
        <f>SUM(I16:K16)</f>
        <v>4.849937572560564</v>
      </c>
      <c r="M16" s="46">
        <f>+M12*M$8*M$9/100</f>
        <v>2.2417494658119641</v>
      </c>
      <c r="N16" s="47">
        <f>+L16+M16</f>
        <v>7.0916870383725286</v>
      </c>
    </row>
    <row r="17" spans="1:18" x14ac:dyDescent="0.25">
      <c r="A17" s="52" t="s">
        <v>243</v>
      </c>
      <c r="B17" s="405">
        <f>+SUM('2011'!P9:Q12)</f>
        <v>42.605483345238724</v>
      </c>
      <c r="C17" s="20"/>
      <c r="D17" s="18"/>
      <c r="E17" s="18"/>
      <c r="F17" s="18"/>
      <c r="G17" s="18"/>
      <c r="H17" s="18"/>
      <c r="I17" s="18"/>
      <c r="J17" s="18"/>
    </row>
    <row r="18" spans="1:18" x14ac:dyDescent="0.25">
      <c r="A18" s="55" t="s">
        <v>244</v>
      </c>
      <c r="B18" s="56">
        <f>+B17/B8*100</f>
        <v>35.008614088117277</v>
      </c>
      <c r="C18" s="20"/>
      <c r="D18" s="17"/>
      <c r="E18" s="41"/>
      <c r="F18" s="41"/>
      <c r="G18" s="41"/>
      <c r="H18" s="41"/>
      <c r="I18" s="41"/>
      <c r="J18" s="41"/>
    </row>
    <row r="19" spans="1:18" ht="15.75" thickBot="1" x14ac:dyDescent="0.3">
      <c r="A19" s="52"/>
      <c r="B19" s="37"/>
      <c r="C19" s="20"/>
      <c r="D19" s="17"/>
      <c r="E19" s="41"/>
      <c r="F19" s="41"/>
      <c r="G19" s="41"/>
      <c r="H19" s="41"/>
      <c r="I19" s="41"/>
      <c r="J19" s="41"/>
    </row>
    <row r="20" spans="1:18" ht="15.75" thickBot="1" x14ac:dyDescent="0.3">
      <c r="A20" s="62" t="s">
        <v>279</v>
      </c>
      <c r="B20" s="630">
        <v>2011</v>
      </c>
      <c r="C20" s="628">
        <f>+B1</f>
        <v>2035</v>
      </c>
      <c r="D20" s="11">
        <f>+C1</f>
        <v>2050</v>
      </c>
      <c r="E20" s="18"/>
      <c r="F20" s="60" t="s">
        <v>286</v>
      </c>
      <c r="G20" s="25"/>
      <c r="H20" s="25"/>
      <c r="I20" s="26"/>
      <c r="J20" s="18"/>
    </row>
    <row r="21" spans="1:18" x14ac:dyDescent="0.25">
      <c r="A21" s="53" t="s">
        <v>178</v>
      </c>
      <c r="B21" s="898">
        <f>+B18*(1-Effektiviseringer!E18)</f>
        <v>35.008614088117277</v>
      </c>
      <c r="C21" s="222">
        <f>+B21</f>
        <v>35.008614088117277</v>
      </c>
      <c r="D21" s="629">
        <f>+B21</f>
        <v>35.008614088117277</v>
      </c>
      <c r="F21" s="113"/>
      <c r="G21" s="11">
        <v>2011</v>
      </c>
      <c r="H21" s="11">
        <f>+B1</f>
        <v>2035</v>
      </c>
      <c r="I21" s="36">
        <f>+C1</f>
        <v>2050</v>
      </c>
      <c r="K21" s="60" t="s">
        <v>96</v>
      </c>
      <c r="L21" s="25"/>
      <c r="M21" s="75"/>
      <c r="N21" s="75"/>
      <c r="O21" s="75"/>
      <c r="P21" s="75"/>
      <c r="Q21" s="75"/>
      <c r="R21" s="26"/>
    </row>
    <row r="22" spans="1:18" x14ac:dyDescent="0.25">
      <c r="A22" s="53" t="s">
        <v>69</v>
      </c>
      <c r="B22" s="631"/>
      <c r="C22" s="222">
        <f>+$B$18*(1-Effektiviseringer!G18)</f>
        <v>30.556926555411497</v>
      </c>
      <c r="D22" s="222">
        <f>+$B$18*(1-Effektiviseringer!H18)</f>
        <v>27.491542299454583</v>
      </c>
      <c r="F22" s="31" t="s">
        <v>62</v>
      </c>
      <c r="G22" s="624">
        <f>+'Øvr forudsæt'!C26</f>
        <v>0</v>
      </c>
      <c r="H22" s="112">
        <f>+'Øvr forudsæt'!D26</f>
        <v>0.75</v>
      </c>
      <c r="I22" s="86">
        <f>+'Øvr forudsæt'!E26</f>
        <v>0.75</v>
      </c>
      <c r="K22" s="113"/>
      <c r="L22" s="11"/>
      <c r="M22" s="5"/>
      <c r="N22" s="103" t="s">
        <v>97</v>
      </c>
      <c r="O22" s="103" t="s">
        <v>98</v>
      </c>
      <c r="P22" s="103" t="s">
        <v>34</v>
      </c>
      <c r="Q22" s="103" t="s">
        <v>99</v>
      </c>
      <c r="R22" s="104" t="s">
        <v>100</v>
      </c>
    </row>
    <row r="23" spans="1:18" ht="15.75" thickBot="1" x14ac:dyDescent="0.3">
      <c r="A23" s="53" t="s">
        <v>70</v>
      </c>
      <c r="B23" s="631"/>
      <c r="C23" s="222">
        <f>+$B$18*(1-Effektiviseringer!J18)</f>
        <v>28.628487575116605</v>
      </c>
      <c r="D23" s="222">
        <f>+$B$18*(1-Effektiviseringer!K18)</f>
        <v>24.063127648254294</v>
      </c>
      <c r="F23" s="134" t="s">
        <v>73</v>
      </c>
      <c r="G23" s="618">
        <f>+'Øvr forudsæt'!C27</f>
        <v>0.71307869199263874</v>
      </c>
      <c r="H23" s="618">
        <f>+'Øvr forudsæt'!D27</f>
        <v>0.74</v>
      </c>
      <c r="I23" s="87">
        <f>+'Øvr forudsæt'!E27</f>
        <v>0.77490287953035331</v>
      </c>
      <c r="K23" s="641">
        <v>2011</v>
      </c>
      <c r="L23" s="639"/>
      <c r="M23" s="639"/>
      <c r="N23" s="639"/>
      <c r="O23" s="393">
        <f>+B17</f>
        <v>42.605483345238724</v>
      </c>
      <c r="P23" s="393">
        <f>+N23+O23</f>
        <v>42.605483345238724</v>
      </c>
      <c r="Q23" s="393">
        <f>+P23-R23</f>
        <v>12.224421009701739</v>
      </c>
      <c r="R23" s="642">
        <f>+P23*G23</f>
        <v>30.381062335536985</v>
      </c>
    </row>
    <row r="24" spans="1:18" x14ac:dyDescent="0.25">
      <c r="A24" s="110" t="s">
        <v>71</v>
      </c>
      <c r="B24" s="632"/>
      <c r="C24" s="222">
        <f>+$B$18*(1-Effektiviseringer!M18)</f>
        <v>26.609914667903304</v>
      </c>
      <c r="D24" s="222">
        <f>+$B$18*(1-Effektiviseringer!N18)</f>
        <v>20.365953594366665</v>
      </c>
      <c r="F24" s="17"/>
      <c r="G24" s="18"/>
      <c r="H24" s="18"/>
      <c r="I24" s="21"/>
      <c r="K24" s="643">
        <v>2035</v>
      </c>
      <c r="L24" s="638" t="s">
        <v>177</v>
      </c>
      <c r="M24" s="18"/>
      <c r="N24" s="41">
        <f>+L15</f>
        <v>4.849937572560564</v>
      </c>
      <c r="O24" s="43">
        <f>+C27</f>
        <v>40.475209177976794</v>
      </c>
      <c r="P24" s="41">
        <f>+N24+O24</f>
        <v>45.325146750537357</v>
      </c>
      <c r="Q24" s="41">
        <f>+P24-R24</f>
        <v>11.736038779414109</v>
      </c>
      <c r="R24" s="44">
        <f>+N24*$H$22+O24*$H$23</f>
        <v>33.589107971123248</v>
      </c>
    </row>
    <row r="25" spans="1:18" x14ac:dyDescent="0.25">
      <c r="A25" s="52"/>
      <c r="B25" s="37"/>
      <c r="C25" s="222"/>
      <c r="D25" s="629"/>
      <c r="F25" s="636"/>
      <c r="G25" s="18"/>
      <c r="H25" s="18"/>
      <c r="I25" s="21"/>
      <c r="K25" s="643"/>
      <c r="L25" s="398" t="s">
        <v>69</v>
      </c>
      <c r="M25" s="18"/>
      <c r="N25" s="41">
        <f>+L15</f>
        <v>4.849937572560564</v>
      </c>
      <c r="O25" s="43">
        <f t="shared" ref="O25:O27" si="3">+C28</f>
        <v>35.328390637039007</v>
      </c>
      <c r="P25" s="41">
        <f t="shared" ref="P25:P31" si="4">+N25+O25</f>
        <v>40.17832820959957</v>
      </c>
      <c r="Q25" s="41">
        <f t="shared" ref="Q25:Q31" si="5">+P25-R25</f>
        <v>10.397865958770282</v>
      </c>
      <c r="R25" s="44">
        <f t="shared" ref="R25:R26" si="6">+N25*$H$22+O25*$H$23</f>
        <v>29.780462250829288</v>
      </c>
    </row>
    <row r="26" spans="1:18" x14ac:dyDescent="0.25">
      <c r="A26" s="62" t="s">
        <v>72</v>
      </c>
      <c r="B26" s="630">
        <v>2011</v>
      </c>
      <c r="C26" s="634">
        <f>+B1</f>
        <v>2035</v>
      </c>
      <c r="D26" s="634">
        <f>+C1</f>
        <v>2050</v>
      </c>
      <c r="F26" s="17"/>
      <c r="G26" s="18"/>
      <c r="H26" s="112"/>
      <c r="I26" s="112"/>
      <c r="K26" s="643"/>
      <c r="L26" s="398" t="s">
        <v>70</v>
      </c>
      <c r="M26" s="18"/>
      <c r="N26" s="41">
        <f>+L16</f>
        <v>4.849937572560564</v>
      </c>
      <c r="O26" s="43">
        <f t="shared" si="3"/>
        <v>33.098825909971062</v>
      </c>
      <c r="P26" s="41">
        <f t="shared" si="4"/>
        <v>37.948763482531625</v>
      </c>
      <c r="Q26" s="41">
        <f t="shared" si="5"/>
        <v>9.8181791297326164</v>
      </c>
      <c r="R26" s="44">
        <f t="shared" si="6"/>
        <v>28.130584352799008</v>
      </c>
    </row>
    <row r="27" spans="1:18" x14ac:dyDescent="0.25">
      <c r="A27" s="53" t="s">
        <v>178</v>
      </c>
      <c r="B27" s="37">
        <f>+B$8*B21/100</f>
        <v>42.605483345238724</v>
      </c>
      <c r="C27" s="222">
        <f>+($B$8-C$10)*C21/100</f>
        <v>40.475209177976794</v>
      </c>
      <c r="D27" s="222">
        <f>+($B$8-D$10)*D21/100</f>
        <v>38.344935010714856</v>
      </c>
      <c r="F27" s="17"/>
      <c r="G27" s="18"/>
      <c r="H27" s="112"/>
      <c r="I27" s="112"/>
      <c r="K27" s="644"/>
      <c r="L27" s="640" t="s">
        <v>71</v>
      </c>
      <c r="M27" s="5"/>
      <c r="N27" s="42">
        <f>+L16</f>
        <v>4.849937572560564</v>
      </c>
      <c r="O27" s="323">
        <f t="shared" si="3"/>
        <v>30.765052843296406</v>
      </c>
      <c r="P27" s="42">
        <f t="shared" si="4"/>
        <v>35.614990415856973</v>
      </c>
      <c r="Q27" s="42">
        <f t="shared" si="5"/>
        <v>9.2113981323972105</v>
      </c>
      <c r="R27" s="45">
        <f>+N27*$H$22+O27*$H$23</f>
        <v>26.403592283459762</v>
      </c>
    </row>
    <row r="28" spans="1:18" x14ac:dyDescent="0.25">
      <c r="A28" s="53" t="s">
        <v>69</v>
      </c>
      <c r="B28" s="631"/>
      <c r="C28" s="222">
        <f t="shared" ref="C28:D28" si="7">+($B$8-C$10)*C22/100</f>
        <v>35.328390637039007</v>
      </c>
      <c r="D28" s="222">
        <f t="shared" si="7"/>
        <v>30.111486280592604</v>
      </c>
      <c r="E28" s="18"/>
      <c r="F28" s="18"/>
      <c r="G28" s="18"/>
      <c r="H28" s="18"/>
      <c r="I28" s="18"/>
      <c r="J28" s="18"/>
      <c r="K28" s="643">
        <v>2050</v>
      </c>
      <c r="L28" s="638" t="s">
        <v>177</v>
      </c>
      <c r="M28" s="18"/>
      <c r="N28" s="41">
        <f>+N15</f>
        <v>7.0916870383725286</v>
      </c>
      <c r="O28" s="43">
        <f>+D27</f>
        <v>38.344935010714856</v>
      </c>
      <c r="P28" s="41">
        <f t="shared" si="4"/>
        <v>45.436622049087383</v>
      </c>
      <c r="Q28" s="41">
        <f t="shared" si="5"/>
        <v>10.404256215100787</v>
      </c>
      <c r="R28" s="174">
        <f>+N28*$I$22+O28*$I$23</f>
        <v>35.032365833986596</v>
      </c>
    </row>
    <row r="29" spans="1:18" x14ac:dyDescent="0.25">
      <c r="A29" s="53" t="s">
        <v>70</v>
      </c>
      <c r="B29" s="631"/>
      <c r="C29" s="222">
        <f t="shared" ref="C29:D29" si="8">+($B$8-C$10)*C23/100</f>
        <v>33.098825909971062</v>
      </c>
      <c r="D29" s="222">
        <f t="shared" si="8"/>
        <v>26.356343713132929</v>
      </c>
      <c r="E29" s="18"/>
      <c r="F29" s="18"/>
      <c r="G29" s="18"/>
      <c r="H29" s="18"/>
      <c r="I29" s="18"/>
      <c r="J29" s="18"/>
      <c r="K29" s="645"/>
      <c r="L29" s="398" t="s">
        <v>69</v>
      </c>
      <c r="M29" s="18"/>
      <c r="N29" s="41">
        <f>+N15</f>
        <v>7.0916870383725286</v>
      </c>
      <c r="O29" s="43">
        <f t="shared" ref="O29:O31" si="9">+D28</f>
        <v>30.111486280592604</v>
      </c>
      <c r="P29" s="41">
        <f t="shared" si="4"/>
        <v>37.203173318965135</v>
      </c>
      <c r="Q29" s="41">
        <f t="shared" si="5"/>
        <v>8.5509306144157975</v>
      </c>
      <c r="R29" s="174">
        <f>+N29*$I$22+O29*$I$23</f>
        <v>28.652242704549337</v>
      </c>
    </row>
    <row r="30" spans="1:18" ht="15.75" thickBot="1" x14ac:dyDescent="0.3">
      <c r="A30" s="54" t="s">
        <v>71</v>
      </c>
      <c r="B30" s="633"/>
      <c r="C30" s="222">
        <f t="shared" ref="C30:D30" si="10">+($B$8-C$10)*C24/100</f>
        <v>30.765052843296406</v>
      </c>
      <c r="D30" s="222">
        <f t="shared" si="10"/>
        <v>22.306828971909809</v>
      </c>
      <c r="E30" s="18"/>
      <c r="F30" s="18"/>
      <c r="G30" s="18"/>
      <c r="H30" s="18"/>
      <c r="I30" s="18"/>
      <c r="J30" s="18"/>
      <c r="K30" s="645"/>
      <c r="L30" s="398" t="s">
        <v>70</v>
      </c>
      <c r="M30" s="18"/>
      <c r="N30" s="41">
        <f>+N16</f>
        <v>7.0916870383725286</v>
      </c>
      <c r="O30" s="43">
        <f t="shared" si="9"/>
        <v>26.356343713132929</v>
      </c>
      <c r="P30" s="41">
        <f t="shared" si="4"/>
        <v>33.448030751505456</v>
      </c>
      <c r="Q30" s="41">
        <f t="shared" si="5"/>
        <v>7.705658835527629</v>
      </c>
      <c r="R30" s="174">
        <f>+N30*$I$22+O30*$I$23</f>
        <v>25.742371915977827</v>
      </c>
    </row>
    <row r="31" spans="1:18" ht="15.75" thickBot="1" x14ac:dyDescent="0.3">
      <c r="A31" s="637"/>
      <c r="B31" s="583"/>
      <c r="C31" s="222"/>
      <c r="D31" s="222"/>
      <c r="E31" s="18"/>
      <c r="F31" s="18"/>
      <c r="G31" s="18"/>
      <c r="H31" s="18"/>
      <c r="I31" s="18"/>
      <c r="J31" s="18"/>
      <c r="K31" s="646"/>
      <c r="L31" s="647" t="s">
        <v>71</v>
      </c>
      <c r="M31" s="34"/>
      <c r="N31" s="46">
        <f>+N16</f>
        <v>7.0916870383725286</v>
      </c>
      <c r="O31" s="102">
        <f t="shared" si="9"/>
        <v>22.306828971909809</v>
      </c>
      <c r="P31" s="46">
        <f t="shared" si="4"/>
        <v>29.398516010282336</v>
      </c>
      <c r="Q31" s="46">
        <f t="shared" si="5"/>
        <v>6.7941247279789181</v>
      </c>
      <c r="R31" s="648">
        <f>+N31*$I$22+O31*$I$23</f>
        <v>22.604391282303418</v>
      </c>
    </row>
    <row r="32" spans="1:18" x14ac:dyDescent="0.25">
      <c r="A32" s="637"/>
      <c r="B32" s="583"/>
      <c r="C32" s="222"/>
      <c r="D32" s="222"/>
      <c r="E32" s="18"/>
      <c r="F32" s="18"/>
      <c r="G32" s="18"/>
      <c r="H32" s="18"/>
      <c r="I32" s="18"/>
      <c r="J32" s="18"/>
      <c r="K32" s="607"/>
    </row>
    <row r="33" spans="1:22" x14ac:dyDescent="0.25">
      <c r="A33" s="637"/>
      <c r="B33" s="583"/>
      <c r="C33" s="222"/>
      <c r="D33" s="222"/>
      <c r="E33" s="18"/>
      <c r="F33" s="18"/>
      <c r="G33" s="18"/>
      <c r="H33" s="18"/>
      <c r="I33" s="18"/>
      <c r="J33" s="18"/>
    </row>
    <row r="34" spans="1:22" x14ac:dyDescent="0.25">
      <c r="A34" s="637"/>
      <c r="B34" s="583"/>
      <c r="C34" s="222"/>
      <c r="D34" s="222"/>
      <c r="E34" s="18"/>
      <c r="F34" s="18"/>
      <c r="G34" s="18"/>
      <c r="H34" s="18"/>
      <c r="I34" s="18"/>
      <c r="J34" s="18"/>
      <c r="V34" s="293">
        <f>+P31+V42</f>
        <v>56.240728503583824</v>
      </c>
    </row>
    <row r="36" spans="1:22" ht="15.75" thickBot="1" x14ac:dyDescent="0.3">
      <c r="R36" s="57"/>
      <c r="S36" s="57"/>
      <c r="T36" s="57"/>
      <c r="U36" s="57"/>
      <c r="V36" s="57"/>
    </row>
    <row r="37" spans="1:22" ht="18.75" x14ac:dyDescent="0.3">
      <c r="A37" s="74" t="s">
        <v>87</v>
      </c>
      <c r="B37" s="25"/>
      <c r="C37" s="25"/>
      <c r="D37" s="25"/>
      <c r="F37" s="25"/>
      <c r="G37" s="25"/>
      <c r="H37" s="25"/>
      <c r="I37" s="25"/>
      <c r="J37" s="25"/>
      <c r="K37" s="25"/>
      <c r="L37" s="25"/>
      <c r="M37" s="25"/>
      <c r="N37" s="26"/>
      <c r="O37" s="25"/>
      <c r="P37" s="25"/>
      <c r="Q37" s="25"/>
      <c r="R37" s="25"/>
      <c r="S37" s="25"/>
      <c r="T37" s="25"/>
      <c r="U37" s="25"/>
      <c r="V37" s="26"/>
    </row>
    <row r="38" spans="1:22" x14ac:dyDescent="0.25">
      <c r="A38" s="62"/>
      <c r="B38" s="1066" t="s">
        <v>0</v>
      </c>
      <c r="C38" s="1089"/>
      <c r="D38" s="1066" t="s">
        <v>50</v>
      </c>
      <c r="E38" s="1026"/>
      <c r="F38" s="92" t="s">
        <v>171</v>
      </c>
      <c r="G38" s="619" t="s">
        <v>287</v>
      </c>
      <c r="H38" s="365"/>
      <c r="I38" s="365">
        <f>+B1</f>
        <v>2035</v>
      </c>
      <c r="J38" s="649"/>
      <c r="K38" s="619" t="s">
        <v>288</v>
      </c>
      <c r="L38" s="365"/>
      <c r="M38" s="365">
        <f>+B1</f>
        <v>2035</v>
      </c>
      <c r="N38" s="616"/>
      <c r="O38" s="650" t="s">
        <v>287</v>
      </c>
      <c r="P38" s="365"/>
      <c r="Q38" s="365">
        <f>+C1</f>
        <v>2050</v>
      </c>
      <c r="R38" s="649"/>
      <c r="S38" s="619" t="s">
        <v>289</v>
      </c>
      <c r="T38" s="365"/>
      <c r="U38" s="365">
        <f>+C1</f>
        <v>2050</v>
      </c>
      <c r="V38" s="616"/>
    </row>
    <row r="39" spans="1:22" x14ac:dyDescent="0.25">
      <c r="A39" s="62"/>
      <c r="B39" s="1066">
        <v>2011</v>
      </c>
      <c r="C39" s="1089"/>
      <c r="D39" s="1066" t="s">
        <v>339</v>
      </c>
      <c r="E39" s="1026"/>
      <c r="F39" s="92"/>
      <c r="G39" s="106" t="s">
        <v>53</v>
      </c>
      <c r="H39" s="106" t="s">
        <v>54</v>
      </c>
      <c r="I39" s="106" t="s">
        <v>55</v>
      </c>
      <c r="J39" s="106" t="s">
        <v>56</v>
      </c>
      <c r="K39" s="105" t="s">
        <v>53</v>
      </c>
      <c r="L39" s="106" t="s">
        <v>54</v>
      </c>
      <c r="M39" s="106" t="s">
        <v>55</v>
      </c>
      <c r="N39" s="107" t="s">
        <v>56</v>
      </c>
      <c r="O39" s="562" t="s">
        <v>53</v>
      </c>
      <c r="P39" s="562" t="s">
        <v>54</v>
      </c>
      <c r="Q39" s="562" t="s">
        <v>55</v>
      </c>
      <c r="R39" s="562" t="s">
        <v>56</v>
      </c>
      <c r="S39" s="567" t="s">
        <v>53</v>
      </c>
      <c r="T39" s="562" t="s">
        <v>54</v>
      </c>
      <c r="U39" s="562" t="s">
        <v>55</v>
      </c>
      <c r="V39" s="563" t="s">
        <v>56</v>
      </c>
    </row>
    <row r="40" spans="1:22" x14ac:dyDescent="0.25">
      <c r="A40" s="62"/>
      <c r="B40" s="88" t="s">
        <v>81</v>
      </c>
      <c r="C40" s="90" t="s">
        <v>83</v>
      </c>
      <c r="D40" s="1066" t="s">
        <v>154</v>
      </c>
      <c r="E40" s="1026"/>
      <c r="F40" s="92"/>
      <c r="G40" s="18"/>
      <c r="H40" s="18"/>
      <c r="I40" s="18"/>
      <c r="J40" s="18"/>
      <c r="K40" s="66"/>
      <c r="L40" s="18"/>
      <c r="M40" s="18"/>
      <c r="N40" s="28"/>
      <c r="O40" s="18"/>
      <c r="P40" s="18"/>
      <c r="Q40" s="18"/>
      <c r="R40" s="18"/>
      <c r="S40" s="66"/>
      <c r="T40" s="18"/>
      <c r="U40" s="18"/>
      <c r="V40" s="28"/>
    </row>
    <row r="41" spans="1:22" x14ac:dyDescent="0.25">
      <c r="A41" s="62"/>
      <c r="B41" s="67" t="s">
        <v>82</v>
      </c>
      <c r="C41" s="91" t="s">
        <v>1</v>
      </c>
      <c r="D41" s="67" t="s">
        <v>315</v>
      </c>
      <c r="E41" t="s">
        <v>338</v>
      </c>
      <c r="F41" s="129"/>
      <c r="G41" s="5"/>
      <c r="H41" s="5"/>
      <c r="I41" s="5"/>
      <c r="J41" s="5"/>
      <c r="K41" s="71"/>
      <c r="L41" s="5"/>
      <c r="M41" s="5"/>
      <c r="N41" s="32"/>
      <c r="O41" s="5"/>
      <c r="P41" s="5"/>
      <c r="Q41" s="5"/>
      <c r="R41" s="5"/>
      <c r="S41" s="71"/>
      <c r="T41" s="5"/>
      <c r="U41" s="5"/>
      <c r="V41" s="32"/>
    </row>
    <row r="42" spans="1:22" x14ac:dyDescent="0.25">
      <c r="A42" s="62" t="s">
        <v>107</v>
      </c>
      <c r="B42" s="105"/>
      <c r="C42" s="115">
        <f>+C45+C53+C61</f>
        <v>33.263706394195452</v>
      </c>
      <c r="D42" s="105"/>
      <c r="F42" s="92"/>
      <c r="G42" s="18"/>
      <c r="H42" s="18"/>
      <c r="I42" s="18"/>
      <c r="J42" s="18"/>
      <c r="K42" s="523">
        <f>+K45+K53+K61</f>
        <v>43.583440733516269</v>
      </c>
      <c r="L42" s="523">
        <f t="shared" ref="L42:N42" si="11">+L45+L53+L61</f>
        <v>36.993713045413834</v>
      </c>
      <c r="M42" s="523">
        <f t="shared" si="11"/>
        <v>35.166941470401866</v>
      </c>
      <c r="N42" s="524">
        <f t="shared" si="11"/>
        <v>31.792645826723607</v>
      </c>
      <c r="O42" s="18"/>
      <c r="P42" s="18"/>
      <c r="Q42" s="18"/>
      <c r="R42" s="18"/>
      <c r="S42" s="523">
        <f>+S45+S53+S61</f>
        <v>51.143374765494883</v>
      </c>
      <c r="T42" s="523">
        <f t="shared" ref="T42:V42" si="12">+T45+T53+T61</f>
        <v>38.018492642147578</v>
      </c>
      <c r="U42" s="523">
        <f t="shared" si="12"/>
        <v>34.172985035436739</v>
      </c>
      <c r="V42" s="524">
        <f t="shared" si="12"/>
        <v>26.842212493301489</v>
      </c>
    </row>
    <row r="43" spans="1:22" x14ac:dyDescent="0.25">
      <c r="A43" s="62"/>
      <c r="B43" s="105"/>
      <c r="C43" s="114"/>
      <c r="D43" s="105"/>
      <c r="F43" s="92"/>
      <c r="G43" s="18"/>
      <c r="H43" s="18"/>
      <c r="I43" s="18"/>
      <c r="J43" s="18"/>
      <c r="K43" s="525"/>
      <c r="L43" s="519"/>
      <c r="M43" s="519"/>
      <c r="N43" s="526"/>
      <c r="O43" s="18"/>
      <c r="P43" s="18"/>
      <c r="Q43" s="18"/>
      <c r="R43" s="18"/>
      <c r="S43" s="525"/>
      <c r="T43" s="519"/>
      <c r="U43" s="519"/>
      <c r="V43" s="526"/>
    </row>
    <row r="44" spans="1:22" x14ac:dyDescent="0.25">
      <c r="A44" s="27" t="s">
        <v>46</v>
      </c>
      <c r="B44" s="66"/>
      <c r="C44" s="92"/>
      <c r="D44" s="66"/>
      <c r="F44" s="92"/>
      <c r="G44" s="18"/>
      <c r="H44" s="18"/>
      <c r="I44" s="18"/>
      <c r="J44" s="18"/>
      <c r="K44" s="525"/>
      <c r="L44" s="519"/>
      <c r="M44" s="519"/>
      <c r="N44" s="526"/>
      <c r="O44" s="18"/>
      <c r="P44" s="18"/>
      <c r="Q44" s="18"/>
      <c r="R44" s="18"/>
      <c r="S44" s="525"/>
      <c r="T44" s="519"/>
      <c r="U44" s="519"/>
      <c r="V44" s="526"/>
    </row>
    <row r="45" spans="1:22" x14ac:dyDescent="0.25">
      <c r="A45" s="12" t="s">
        <v>88</v>
      </c>
      <c r="B45" s="72">
        <f>+'Øvr forudsæt'!H55</f>
        <v>1.0000000000000002</v>
      </c>
      <c r="C45" s="93">
        <f>+'2011'!R9</f>
        <v>8.5879049013590656</v>
      </c>
      <c r="D45" s="66"/>
      <c r="F45" s="92"/>
      <c r="G45" s="18"/>
      <c r="H45" s="18"/>
      <c r="I45" s="18"/>
      <c r="J45" s="18"/>
      <c r="K45" s="527">
        <f>+SUM(K46:K51)</f>
        <v>10.744022221050123</v>
      </c>
      <c r="L45" s="527">
        <f t="shared" ref="L45:N45" si="13">+SUM(L46:L51)</f>
        <v>9.1215267697980025</v>
      </c>
      <c r="M45" s="527">
        <f t="shared" si="13"/>
        <v>8.6712670362151165</v>
      </c>
      <c r="N45" s="528">
        <f t="shared" si="13"/>
        <v>7.8387014550143768</v>
      </c>
      <c r="O45" s="18"/>
      <c r="P45" s="18"/>
      <c r="Q45" s="18"/>
      <c r="R45" s="18"/>
      <c r="S45" s="527">
        <f>+SUM(S46:S51)</f>
        <v>12.063035366860943</v>
      </c>
      <c r="T45" s="527">
        <f t="shared" ref="T45:V45" si="14">+SUM(T46:T51)</f>
        <v>8.9485322193149468</v>
      </c>
      <c r="U45" s="527">
        <f t="shared" si="14"/>
        <v>8.040410357432469</v>
      </c>
      <c r="V45" s="528">
        <f t="shared" si="14"/>
        <v>6.3180968096415304</v>
      </c>
    </row>
    <row r="46" spans="1:22" x14ac:dyDescent="0.25">
      <c r="A46" s="94" t="s">
        <v>38</v>
      </c>
      <c r="B46" s="72">
        <f>+'Øvr forudsæt'!H56</f>
        <v>0.33</v>
      </c>
      <c r="C46" s="93">
        <f>+$C$45*B46</f>
        <v>2.8340086174484918</v>
      </c>
      <c r="D46" s="89">
        <f>+'E-tjen-oversigt'!L25</f>
        <v>1.1180045189812304E-2</v>
      </c>
      <c r="E46" s="89">
        <f>+'E-tjen-oversigt'!M25</f>
        <v>1.0398207687009053E-2</v>
      </c>
      <c r="F46" s="92">
        <f>+'E-tjen-oversigt'!C25</f>
        <v>1</v>
      </c>
      <c r="G46" s="16">
        <v>0</v>
      </c>
      <c r="H46" s="356">
        <f>+Effektiviseringer!G20</f>
        <v>0.1964135293926228</v>
      </c>
      <c r="I46" s="356">
        <f>+Effektiviseringer!J20</f>
        <v>0.23990379622210423</v>
      </c>
      <c r="J46" s="356">
        <f>+Effektiviseringer!M20</f>
        <v>0.30025260992810354</v>
      </c>
      <c r="K46" s="522">
        <f t="shared" ref="K46:N51" si="15">+$C46*(1+$D46*$F46)^$B$2*(1-G46)</f>
        <v>3.7007090342782023</v>
      </c>
      <c r="L46" s="522">
        <f t="shared" si="15"/>
        <v>2.9738397116004558</v>
      </c>
      <c r="M46" s="522">
        <f t="shared" si="15"/>
        <v>2.8128948882414244</v>
      </c>
      <c r="N46" s="522">
        <f t="shared" si="15"/>
        <v>2.5895614881516607</v>
      </c>
      <c r="O46" s="16">
        <v>0</v>
      </c>
      <c r="P46" s="356">
        <f>+Effektiviseringer!H20</f>
        <v>0.33831127775326819</v>
      </c>
      <c r="Q46" s="356">
        <f>+Effektiviseringer!K20</f>
        <v>0.41825878787702897</v>
      </c>
      <c r="R46" s="356">
        <f>+Effektiviseringer!N20</f>
        <v>0.53212806550304403</v>
      </c>
      <c r="S46" s="522">
        <f>+$C46*(1+$E46*$F46)^$C$2*(1-O46)</f>
        <v>4.2423967947967682</v>
      </c>
      <c r="T46" s="522">
        <f t="shared" ref="T46:V46" si="16">+$C46*(1+$E46*$F46)^$C$2*(1-P46)</f>
        <v>2.8071461144127041</v>
      </c>
      <c r="U46" s="522">
        <f t="shared" si="16"/>
        <v>2.467977053711679</v>
      </c>
      <c r="V46" s="522">
        <f t="shared" si="16"/>
        <v>1.9848983952852495</v>
      </c>
    </row>
    <row r="47" spans="1:22" x14ac:dyDescent="0.25">
      <c r="A47" s="94" t="s">
        <v>39</v>
      </c>
      <c r="B47" s="72">
        <f>+'Øvr forudsæt'!H57</f>
        <v>0.24</v>
      </c>
      <c r="C47" s="93">
        <f t="shared" ref="C47:C51" si="17">+$C$45*B47</f>
        <v>2.0610971763261756</v>
      </c>
      <c r="D47" s="89">
        <f>+'E-tjen-oversigt'!L26</f>
        <v>1.1180045189812304E-2</v>
      </c>
      <c r="E47" s="89">
        <f>+'E-tjen-oversigt'!M26</f>
        <v>1.0398207687009053E-2</v>
      </c>
      <c r="F47" s="92">
        <f>+'E-tjen-oversigt'!C26</f>
        <v>1</v>
      </c>
      <c r="G47" s="16">
        <v>0</v>
      </c>
      <c r="H47" s="356">
        <f>+Effektiviseringer!G21</f>
        <v>0.12715977620538776</v>
      </c>
      <c r="I47" s="356">
        <f>+Effektiviseringer!J21</f>
        <v>0.16823631256716953</v>
      </c>
      <c r="J47" s="356">
        <f>+Effektiviseringer!M21</f>
        <v>0.25473426671965282</v>
      </c>
      <c r="K47" s="522">
        <f t="shared" si="15"/>
        <v>2.6914247522023289</v>
      </c>
      <c r="L47" s="522">
        <f t="shared" si="15"/>
        <v>2.3491837830386397</v>
      </c>
      <c r="M47" s="522">
        <f t="shared" si="15"/>
        <v>2.2386293763398011</v>
      </c>
      <c r="N47" s="522">
        <f t="shared" si="15"/>
        <v>2.0058266415189454</v>
      </c>
      <c r="O47" s="16">
        <v>0</v>
      </c>
      <c r="P47" s="356">
        <f>+Effektiviseringer!H21</f>
        <v>0.21472063332019076</v>
      </c>
      <c r="Q47" s="356">
        <f>+Effektiviseringer!K21</f>
        <v>0.28747080530918789</v>
      </c>
      <c r="R47" s="356">
        <f>+Effektiviseringer!N21</f>
        <v>0.4459278005974161</v>
      </c>
      <c r="S47" s="522">
        <f t="shared" ref="S47:S51" si="18">+$C47*(1+$E47*$F47)^$C$2*(1-O47)</f>
        <v>3.0853794871249223</v>
      </c>
      <c r="T47" s="522">
        <f t="shared" ref="T47:T51" si="19">+$C47*(1+$E47*$F47)^$C$2*(1-P47)</f>
        <v>2.4228848496163335</v>
      </c>
      <c r="U47" s="522">
        <f t="shared" ref="U47:U51" si="20">+$C47*(1+$E47*$F47)^$C$2*(1-Q47)</f>
        <v>2.1984229612766719</v>
      </c>
      <c r="V47" s="522">
        <f t="shared" ref="V47:V51" si="21">+$C47*(1+$E47*$F47)^$C$2*(1-R47)</f>
        <v>1.7095229984229219</v>
      </c>
    </row>
    <row r="48" spans="1:22" x14ac:dyDescent="0.25">
      <c r="A48" s="94" t="s">
        <v>40</v>
      </c>
      <c r="B48" s="72">
        <f>+'Øvr forudsæt'!H58</f>
        <v>0.06</v>
      </c>
      <c r="C48" s="93">
        <f t="shared" si="17"/>
        <v>0.5152742940815439</v>
      </c>
      <c r="D48" s="89">
        <f>+'E-tjen-oversigt'!L27</f>
        <v>6.1248141002396839E-3</v>
      </c>
      <c r="E48" s="89">
        <f>+'E-tjen-oversigt'!M27</f>
        <v>5.6860904737183748E-3</v>
      </c>
      <c r="F48" s="92">
        <f>+'E-tjen-oversigt'!C27</f>
        <v>1</v>
      </c>
      <c r="G48" s="16">
        <v>0</v>
      </c>
      <c r="H48" s="356">
        <f>+Effektiviseringer!G22</f>
        <v>0.12715977620538776</v>
      </c>
      <c r="I48" s="356">
        <f>+Effektiviseringer!J22</f>
        <v>0.16823631256716953</v>
      </c>
      <c r="J48" s="356">
        <f>+Effektiviseringer!M22</f>
        <v>0.25473426671965282</v>
      </c>
      <c r="K48" s="522">
        <f t="shared" si="15"/>
        <v>0.59659982375983933</v>
      </c>
      <c r="L48" s="522">
        <f t="shared" si="15"/>
        <v>0.52073632368636436</v>
      </c>
      <c r="M48" s="522">
        <f t="shared" si="15"/>
        <v>0.49623006933226077</v>
      </c>
      <c r="N48" s="522">
        <f t="shared" si="15"/>
        <v>0.44462540512930254</v>
      </c>
      <c r="O48" s="16">
        <v>0</v>
      </c>
      <c r="P48" s="356">
        <f>+Effektiviseringer!H22</f>
        <v>0.21472063332019076</v>
      </c>
      <c r="Q48" s="356">
        <f>+Effektiviseringer!K22</f>
        <v>0.28747080530918789</v>
      </c>
      <c r="R48" s="356">
        <f>+Effektiviseringer!N22</f>
        <v>0.4459278005974161</v>
      </c>
      <c r="S48" s="522">
        <f t="shared" si="18"/>
        <v>0.64279689943103058</v>
      </c>
      <c r="T48" s="522">
        <f t="shared" si="19"/>
        <v>0.50477514208894469</v>
      </c>
      <c r="U48" s="522">
        <f t="shared" si="20"/>
        <v>0.45801155710134317</v>
      </c>
      <c r="V48" s="522">
        <f t="shared" si="21"/>
        <v>0.35615589183691265</v>
      </c>
    </row>
    <row r="49" spans="1:22" x14ac:dyDescent="0.25">
      <c r="A49" s="94" t="s">
        <v>41</v>
      </c>
      <c r="B49" s="72">
        <f>+'Øvr forudsæt'!H59</f>
        <v>0.25</v>
      </c>
      <c r="C49" s="93">
        <f t="shared" si="17"/>
        <v>2.1469762253397664</v>
      </c>
      <c r="D49" s="89">
        <f>+'E-tjen-oversigt'!L28</f>
        <v>6.1248141002396839E-3</v>
      </c>
      <c r="E49" s="89">
        <f>+'E-tjen-oversigt'!M28</f>
        <v>5.6860904737183748E-3</v>
      </c>
      <c r="F49" s="92">
        <f>+'E-tjen-oversigt'!C28</f>
        <v>1</v>
      </c>
      <c r="G49" s="16">
        <v>0</v>
      </c>
      <c r="H49" s="356">
        <f>+Effektiviseringer!G23</f>
        <v>0.12715977620538776</v>
      </c>
      <c r="I49" s="356">
        <f>+Effektiviseringer!J23</f>
        <v>0.16823631256716953</v>
      </c>
      <c r="J49" s="356">
        <f>+Effektiviseringer!M23</f>
        <v>0.25473426671965282</v>
      </c>
      <c r="K49" s="522">
        <f t="shared" si="15"/>
        <v>2.4858325989993308</v>
      </c>
      <c r="L49" s="522">
        <f t="shared" si="15"/>
        <v>2.1697346820265184</v>
      </c>
      <c r="M49" s="522">
        <f t="shared" si="15"/>
        <v>2.06762528888442</v>
      </c>
      <c r="N49" s="522">
        <f t="shared" si="15"/>
        <v>1.8526058547054276</v>
      </c>
      <c r="O49" s="16">
        <v>0</v>
      </c>
      <c r="P49" s="356">
        <f>+Effektiviseringer!H23</f>
        <v>0.21472063332019076</v>
      </c>
      <c r="Q49" s="356">
        <f>+Effektiviseringer!K23</f>
        <v>0.28747080530918789</v>
      </c>
      <c r="R49" s="356">
        <f>+Effektiviseringer!N23</f>
        <v>0.4459278005974161</v>
      </c>
      <c r="S49" s="522">
        <f t="shared" si="18"/>
        <v>2.6783204142959609</v>
      </c>
      <c r="T49" s="522">
        <f t="shared" si="19"/>
        <v>2.1032297587039364</v>
      </c>
      <c r="U49" s="522">
        <f t="shared" si="20"/>
        <v>1.9083814879222634</v>
      </c>
      <c r="V49" s="522">
        <f t="shared" si="21"/>
        <v>1.4839828826538028</v>
      </c>
    </row>
    <row r="50" spans="1:22" x14ac:dyDescent="0.25">
      <c r="A50" s="94" t="s">
        <v>42</v>
      </c>
      <c r="B50" s="72">
        <f>+'Øvr forudsæt'!H60</f>
        <v>0.06</v>
      </c>
      <c r="C50" s="93">
        <f t="shared" si="17"/>
        <v>0.5152742940815439</v>
      </c>
      <c r="D50" s="89">
        <f>+'E-tjen-oversigt'!L29</f>
        <v>1.1180045189812304E-2</v>
      </c>
      <c r="E50" s="89">
        <f>+'E-tjen-oversigt'!M29</f>
        <v>1.0398207687009053E-2</v>
      </c>
      <c r="F50" s="92">
        <f>+'E-tjen-oversigt'!C29</f>
        <v>1</v>
      </c>
      <c r="G50" s="16">
        <v>0</v>
      </c>
      <c r="H50" s="356">
        <f>+Effektiviseringer!G24</f>
        <v>0.12715977620538776</v>
      </c>
      <c r="I50" s="356">
        <f>+Effektiviseringer!J24</f>
        <v>0.16823631256716953</v>
      </c>
      <c r="J50" s="356">
        <f>+Effektiviseringer!M24</f>
        <v>0.25473426671965282</v>
      </c>
      <c r="K50" s="522">
        <f t="shared" si="15"/>
        <v>0.67285618805058223</v>
      </c>
      <c r="L50" s="522">
        <f t="shared" si="15"/>
        <v>0.58729594575965993</v>
      </c>
      <c r="M50" s="522">
        <f t="shared" si="15"/>
        <v>0.55965734408495027</v>
      </c>
      <c r="N50" s="522">
        <f t="shared" si="15"/>
        <v>0.50145666037973635</v>
      </c>
      <c r="O50" s="16">
        <v>0</v>
      </c>
      <c r="P50" s="356">
        <f>+Effektiviseringer!H24</f>
        <v>0.21472063332019076</v>
      </c>
      <c r="Q50" s="356">
        <f>+Effektiviseringer!K24</f>
        <v>0.28747080530918789</v>
      </c>
      <c r="R50" s="356">
        <f>+Effektiviseringer!N24</f>
        <v>0.4459278005974161</v>
      </c>
      <c r="S50" s="522">
        <f t="shared" si="18"/>
        <v>0.77134487178123057</v>
      </c>
      <c r="T50" s="522">
        <f t="shared" si="19"/>
        <v>0.60572121240408339</v>
      </c>
      <c r="U50" s="522">
        <f t="shared" si="20"/>
        <v>0.54960574031916798</v>
      </c>
      <c r="V50" s="522">
        <f t="shared" si="21"/>
        <v>0.42738074960573047</v>
      </c>
    </row>
    <row r="51" spans="1:22" x14ac:dyDescent="0.25">
      <c r="A51" s="95" t="s">
        <v>37</v>
      </c>
      <c r="B51" s="72">
        <f>+'Øvr forudsæt'!H61</f>
        <v>0.06</v>
      </c>
      <c r="C51" s="128">
        <f t="shared" si="17"/>
        <v>0.5152742940815439</v>
      </c>
      <c r="D51" s="89">
        <f>+'E-tjen-oversigt'!L30</f>
        <v>6.1248141002396839E-3</v>
      </c>
      <c r="E51" s="89">
        <f>+'E-tjen-oversigt'!M30</f>
        <v>5.6860904737183748E-3</v>
      </c>
      <c r="F51" s="92">
        <f>+'E-tjen-oversigt'!C30</f>
        <v>1</v>
      </c>
      <c r="G51" s="108">
        <v>0</v>
      </c>
      <c r="H51" s="356">
        <f>+Effektiviseringer!G25</f>
        <v>0.12715977620538776</v>
      </c>
      <c r="I51" s="356">
        <f>+Effektiviseringer!J25</f>
        <v>0.16823631256716953</v>
      </c>
      <c r="J51" s="356">
        <f>+Effektiviseringer!M25</f>
        <v>0.25473426671965282</v>
      </c>
      <c r="K51" s="522">
        <f t="shared" si="15"/>
        <v>0.59659982375983933</v>
      </c>
      <c r="L51" s="522">
        <f t="shared" si="15"/>
        <v>0.52073632368636436</v>
      </c>
      <c r="M51" s="522">
        <f t="shared" si="15"/>
        <v>0.49623006933226077</v>
      </c>
      <c r="N51" s="522">
        <f t="shared" si="15"/>
        <v>0.44462540512930254</v>
      </c>
      <c r="O51" s="108">
        <v>0</v>
      </c>
      <c r="P51" s="356">
        <f>+Effektiviseringer!H25</f>
        <v>0.21472063332019076</v>
      </c>
      <c r="Q51" s="356">
        <f>+Effektiviseringer!K25</f>
        <v>0.28747080530918789</v>
      </c>
      <c r="R51" s="356">
        <f>+Effektiviseringer!N25</f>
        <v>0.4459278005974161</v>
      </c>
      <c r="S51" s="522">
        <f t="shared" si="18"/>
        <v>0.64279689943103058</v>
      </c>
      <c r="T51" s="522">
        <f t="shared" si="19"/>
        <v>0.50477514208894469</v>
      </c>
      <c r="U51" s="522">
        <f t="shared" si="20"/>
        <v>0.45801155710134317</v>
      </c>
      <c r="V51" s="522">
        <f t="shared" si="21"/>
        <v>0.35615589183691265</v>
      </c>
    </row>
    <row r="52" spans="1:22" x14ac:dyDescent="0.25">
      <c r="A52" s="27" t="s">
        <v>43</v>
      </c>
      <c r="B52" s="66"/>
      <c r="C52" s="92"/>
      <c r="D52" s="66"/>
      <c r="F52" s="92"/>
      <c r="G52" s="18"/>
      <c r="H52" s="18"/>
      <c r="I52" s="18"/>
      <c r="J52" s="18"/>
      <c r="K52" s="525"/>
      <c r="L52" s="519"/>
      <c r="M52" s="519"/>
      <c r="N52" s="526"/>
      <c r="O52" s="18"/>
      <c r="P52" s="18"/>
      <c r="Q52" s="18"/>
      <c r="R52" s="18"/>
      <c r="S52" s="525"/>
      <c r="T52" s="519"/>
      <c r="U52" s="519"/>
      <c r="V52" s="526"/>
    </row>
    <row r="53" spans="1:22" x14ac:dyDescent="0.25">
      <c r="A53" s="12" t="s">
        <v>88</v>
      </c>
      <c r="B53" s="72">
        <f>+'Øvr forudsæt'!I55</f>
        <v>1</v>
      </c>
      <c r="C53" s="93">
        <f>+'2011'!R10+'2011'!R11</f>
        <v>11.446583904709968</v>
      </c>
      <c r="D53" s="66"/>
      <c r="F53" s="92"/>
      <c r="G53" s="18"/>
      <c r="H53" s="18"/>
      <c r="I53" s="18"/>
      <c r="J53" s="18"/>
      <c r="K53" s="527">
        <f>+SUM(K54:K59)</f>
        <v>15.205732144427955</v>
      </c>
      <c r="L53" s="527">
        <f t="shared" ref="L53" si="22">+SUM(L54:L59)</f>
        <v>12.899520906807709</v>
      </c>
      <c r="M53" s="527">
        <f t="shared" ref="M53" si="23">+SUM(M54:M59)</f>
        <v>12.261933838387767</v>
      </c>
      <c r="N53" s="528">
        <f t="shared" ref="N53" si="24">+SUM(N54:N59)</f>
        <v>11.087377375123296</v>
      </c>
      <c r="O53" s="18"/>
      <c r="P53" s="18"/>
      <c r="Q53" s="18"/>
      <c r="R53" s="18"/>
      <c r="S53" s="527">
        <f>+SUM(S54:S59)</f>
        <v>18.094971718431353</v>
      </c>
      <c r="T53" s="527">
        <f t="shared" ref="T53" si="25">+SUM(T54:T59)</f>
        <v>13.447223334609877</v>
      </c>
      <c r="U53" s="527">
        <f t="shared" ref="U53:V53" si="26">+SUM(U54:U59)</f>
        <v>12.086413335010056</v>
      </c>
      <c r="V53" s="528">
        <f t="shared" si="26"/>
        <v>9.4941834894488135</v>
      </c>
    </row>
    <row r="54" spans="1:22" x14ac:dyDescent="0.25">
      <c r="A54" s="94" t="s">
        <v>38</v>
      </c>
      <c r="B54" s="72">
        <f>+'Øvr forudsæt'!I56</f>
        <v>0.36</v>
      </c>
      <c r="C54" s="93">
        <f>+$C$53*B54</f>
        <v>4.1207702056955879</v>
      </c>
      <c r="D54" s="89">
        <f>+'E-tjen-oversigt'!D25</f>
        <v>1.1180045189812304E-2</v>
      </c>
      <c r="E54" s="89">
        <f>+'E-tjen-oversigt'!E25</f>
        <v>1.0398207687009053E-2</v>
      </c>
      <c r="F54" s="92">
        <f>+'E-tjen-oversigt'!C25</f>
        <v>1</v>
      </c>
      <c r="G54" s="16">
        <v>0</v>
      </c>
      <c r="H54" s="356">
        <f>+Effektiviseringer!G20</f>
        <v>0.1964135293926228</v>
      </c>
      <c r="I54" s="356">
        <f>+Effektiviseringer!J20</f>
        <v>0.23990379622210423</v>
      </c>
      <c r="J54" s="356">
        <f>+Effektiviseringer!M20</f>
        <v>0.30025260992810354</v>
      </c>
      <c r="K54" s="522">
        <f t="shared" ref="K54:N59" si="27">+$C54*(1+$D54*$F54)^$B$2*(1-G54)</f>
        <v>5.3809898228650228</v>
      </c>
      <c r="L54" s="522">
        <f t="shared" si="27"/>
        <v>4.3240906201303195</v>
      </c>
      <c r="M54" s="522">
        <f t="shared" si="27"/>
        <v>4.090069936927196</v>
      </c>
      <c r="N54" s="522">
        <f t="shared" si="27"/>
        <v>3.7653335845532361</v>
      </c>
      <c r="O54" s="16">
        <v>0</v>
      </c>
      <c r="P54" s="356">
        <f>+P46</f>
        <v>0.33831127775326819</v>
      </c>
      <c r="Q54" s="356">
        <f t="shared" ref="Q54:R54" si="28">+Q46</f>
        <v>0.41825878787702897</v>
      </c>
      <c r="R54" s="356">
        <f t="shared" si="28"/>
        <v>0.53212806550304403</v>
      </c>
      <c r="S54" s="522">
        <f>+$C54*(1+$E54*$F54)^$C$2*(1-O54)</f>
        <v>6.1686270835959158</v>
      </c>
      <c r="T54" s="522">
        <f t="shared" ref="T54:V54" si="29">+$C54*(1+$E54*$F54)^$C$2*(1-P54)</f>
        <v>4.0817109729611651</v>
      </c>
      <c r="U54" s="522">
        <f t="shared" si="29"/>
        <v>3.5885445967456757</v>
      </c>
      <c r="V54" s="522">
        <f t="shared" si="29"/>
        <v>2.8861274867923368</v>
      </c>
    </row>
    <row r="55" spans="1:22" x14ac:dyDescent="0.25">
      <c r="A55" s="94" t="s">
        <v>39</v>
      </c>
      <c r="B55" s="72">
        <f>+'Øvr forudsæt'!I57</f>
        <v>0.22</v>
      </c>
      <c r="C55" s="93">
        <f t="shared" ref="C55:C59" si="30">+$C$53*B55</f>
        <v>2.5182484590361929</v>
      </c>
      <c r="D55" s="89">
        <f>+'E-tjen-oversigt'!D26</f>
        <v>1.1180045189812304E-2</v>
      </c>
      <c r="E55" s="89">
        <f>+'E-tjen-oversigt'!E26</f>
        <v>1.0398207687009053E-2</v>
      </c>
      <c r="F55" s="92">
        <f>+'E-tjen-oversigt'!C26</f>
        <v>1</v>
      </c>
      <c r="G55" s="16">
        <v>0</v>
      </c>
      <c r="H55" s="356">
        <f>+Effektiviseringer!G21</f>
        <v>0.12715977620538776</v>
      </c>
      <c r="I55" s="356">
        <f>+Effektiviseringer!J21</f>
        <v>0.16823631256716953</v>
      </c>
      <c r="J55" s="356">
        <f>+Effektiviseringer!M21</f>
        <v>0.25473426671965282</v>
      </c>
      <c r="K55" s="522">
        <f t="shared" si="27"/>
        <v>3.2883826695286258</v>
      </c>
      <c r="L55" s="522">
        <f t="shared" si="27"/>
        <v>2.87023266519369</v>
      </c>
      <c r="M55" s="522">
        <f t="shared" si="27"/>
        <v>2.7351572948973444</v>
      </c>
      <c r="N55" s="522">
        <f t="shared" si="27"/>
        <v>2.450718921512637</v>
      </c>
      <c r="O55" s="16">
        <v>0</v>
      </c>
      <c r="P55" s="356">
        <f t="shared" ref="P55:R59" si="31">+P47</f>
        <v>0.21472063332019076</v>
      </c>
      <c r="Q55" s="356">
        <f t="shared" si="31"/>
        <v>0.28747080530918789</v>
      </c>
      <c r="R55" s="356">
        <f t="shared" si="31"/>
        <v>0.4459278005974161</v>
      </c>
      <c r="S55" s="522">
        <f t="shared" ref="S55:S59" si="32">+$C55*(1+$E55*$F55)^$C$2*(1-O55)</f>
        <v>3.7697165510863933</v>
      </c>
      <c r="T55" s="522">
        <f t="shared" ref="T55:T59" si="33">+$C55*(1+$E55*$F55)^$C$2*(1-P55)</f>
        <v>2.9602806257995176</v>
      </c>
      <c r="U55" s="522">
        <f t="shared" ref="U55:U59" si="34">+$C55*(1+$E55*$F55)^$C$2*(1-Q55)</f>
        <v>2.6860330983582132</v>
      </c>
      <c r="V55" s="522">
        <f t="shared" ref="V55:V59" si="35">+$C55*(1+$E55*$F55)^$C$2*(1-R55)</f>
        <v>2.0886951405847611</v>
      </c>
    </row>
    <row r="56" spans="1:22" x14ac:dyDescent="0.25">
      <c r="A56" s="94" t="s">
        <v>40</v>
      </c>
      <c r="B56" s="72">
        <f>+'Øvr forudsæt'!I58</f>
        <v>0.18</v>
      </c>
      <c r="C56" s="93">
        <f t="shared" si="30"/>
        <v>2.060385102847794</v>
      </c>
      <c r="D56" s="89">
        <f>+'E-tjen-oversigt'!D27</f>
        <v>1.3159175118844235E-2</v>
      </c>
      <c r="E56" s="89">
        <f>+'E-tjen-oversigt'!E27</f>
        <v>1.4152130895814796E-2</v>
      </c>
      <c r="F56" s="92">
        <f>+'E-tjen-oversigt'!C27</f>
        <v>1</v>
      </c>
      <c r="G56" s="16">
        <v>0</v>
      </c>
      <c r="H56" s="356">
        <f>+Effektiviseringer!G22</f>
        <v>0.12715977620538776</v>
      </c>
      <c r="I56" s="356">
        <f>+Effektiviseringer!J22</f>
        <v>0.16823631256716953</v>
      </c>
      <c r="J56" s="356">
        <f>+Effektiviseringer!M22</f>
        <v>0.25473426671965282</v>
      </c>
      <c r="K56" s="522">
        <f t="shared" si="27"/>
        <v>2.8197640074450683</v>
      </c>
      <c r="L56" s="522">
        <f t="shared" si="27"/>
        <v>2.461203447306346</v>
      </c>
      <c r="M56" s="522">
        <f t="shared" si="27"/>
        <v>2.3453773085228851</v>
      </c>
      <c r="N56" s="522">
        <f t="shared" si="27"/>
        <v>2.1014734906860792</v>
      </c>
      <c r="O56" s="16">
        <v>0</v>
      </c>
      <c r="P56" s="356">
        <f t="shared" si="31"/>
        <v>0.21472063332019076</v>
      </c>
      <c r="Q56" s="356">
        <f t="shared" si="31"/>
        <v>0.28747080530918789</v>
      </c>
      <c r="R56" s="356">
        <f t="shared" si="31"/>
        <v>0.4459278005974161</v>
      </c>
      <c r="S56" s="522">
        <f t="shared" si="32"/>
        <v>3.564261784908195</v>
      </c>
      <c r="T56" s="522">
        <f t="shared" si="33"/>
        <v>2.7989412371337536</v>
      </c>
      <c r="U56" s="522">
        <f t="shared" si="34"/>
        <v>2.5396405792678727</v>
      </c>
      <c r="V56" s="522">
        <f t="shared" si="35"/>
        <v>1.9748583664106629</v>
      </c>
    </row>
    <row r="57" spans="1:22" x14ac:dyDescent="0.25">
      <c r="A57" s="94" t="s">
        <v>41</v>
      </c>
      <c r="B57" s="72">
        <f>+'Øvr forudsæt'!I59</f>
        <v>0.12</v>
      </c>
      <c r="C57" s="93">
        <f t="shared" si="30"/>
        <v>1.3735900685651961</v>
      </c>
      <c r="D57" s="89">
        <f>+'E-tjen-oversigt'!D28</f>
        <v>1.3159175118844235E-2</v>
      </c>
      <c r="E57" s="89">
        <f>+'E-tjen-oversigt'!E28</f>
        <v>1.4152130895814796E-2</v>
      </c>
      <c r="F57" s="92">
        <f>+'E-tjen-oversigt'!C28</f>
        <v>1</v>
      </c>
      <c r="G57" s="16">
        <v>0</v>
      </c>
      <c r="H57" s="356">
        <f>+Effektiviseringer!G23</f>
        <v>0.12715977620538776</v>
      </c>
      <c r="I57" s="356">
        <f>+Effektiviseringer!J23</f>
        <v>0.16823631256716953</v>
      </c>
      <c r="J57" s="356">
        <f>+Effektiviseringer!M23</f>
        <v>0.25473426671965282</v>
      </c>
      <c r="K57" s="522">
        <f t="shared" si="27"/>
        <v>1.8798426716300456</v>
      </c>
      <c r="L57" s="522">
        <f t="shared" si="27"/>
        <v>1.6408022982042307</v>
      </c>
      <c r="M57" s="522">
        <f t="shared" si="27"/>
        <v>1.5635848723485901</v>
      </c>
      <c r="N57" s="522">
        <f t="shared" si="27"/>
        <v>1.4009823271240529</v>
      </c>
      <c r="O57" s="16">
        <v>0</v>
      </c>
      <c r="P57" s="356">
        <f t="shared" si="31"/>
        <v>0.21472063332019076</v>
      </c>
      <c r="Q57" s="356">
        <f t="shared" si="31"/>
        <v>0.28747080530918789</v>
      </c>
      <c r="R57" s="356">
        <f t="shared" si="31"/>
        <v>0.4459278005974161</v>
      </c>
      <c r="S57" s="522">
        <f t="shared" si="32"/>
        <v>2.3761745232721303</v>
      </c>
      <c r="T57" s="522">
        <f t="shared" si="33"/>
        <v>1.8659608247558361</v>
      </c>
      <c r="U57" s="522">
        <f t="shared" si="34"/>
        <v>1.6930937195119153</v>
      </c>
      <c r="V57" s="522">
        <f t="shared" si="35"/>
        <v>1.3165722442737755</v>
      </c>
    </row>
    <row r="58" spans="1:22" x14ac:dyDescent="0.25">
      <c r="A58" s="94" t="s">
        <v>42</v>
      </c>
      <c r="B58" s="72">
        <f>+'Øvr forudsæt'!I60</f>
        <v>0.06</v>
      </c>
      <c r="C58" s="93">
        <f t="shared" si="30"/>
        <v>0.68679503428259803</v>
      </c>
      <c r="D58" s="89">
        <f>+'E-tjen-oversigt'!D29</f>
        <v>1.1180045189812304E-2</v>
      </c>
      <c r="E58" s="89">
        <f>+'E-tjen-oversigt'!E29</f>
        <v>1.0398207687009053E-2</v>
      </c>
      <c r="F58" s="92">
        <f>+'E-tjen-oversigt'!C29</f>
        <v>1</v>
      </c>
      <c r="G58" s="16">
        <v>0</v>
      </c>
      <c r="H58" s="356">
        <f>+Effektiviseringer!G24</f>
        <v>0.12715977620538776</v>
      </c>
      <c r="I58" s="356">
        <f>+Effektiviseringer!J24</f>
        <v>0.16823631256716953</v>
      </c>
      <c r="J58" s="356">
        <f>+Effektiviseringer!M24</f>
        <v>0.25473426671965282</v>
      </c>
      <c r="K58" s="522">
        <f t="shared" si="27"/>
        <v>0.89683163714417058</v>
      </c>
      <c r="L58" s="522">
        <f t="shared" si="27"/>
        <v>0.78279072687100637</v>
      </c>
      <c r="M58" s="522">
        <f t="shared" si="27"/>
        <v>0.74595198951745756</v>
      </c>
      <c r="N58" s="522">
        <f t="shared" si="27"/>
        <v>0.66837788768526452</v>
      </c>
      <c r="O58" s="16">
        <v>0</v>
      </c>
      <c r="P58" s="356">
        <f t="shared" si="31"/>
        <v>0.21472063332019076</v>
      </c>
      <c r="Q58" s="356">
        <f t="shared" si="31"/>
        <v>0.28747080530918789</v>
      </c>
      <c r="R58" s="356">
        <f t="shared" si="31"/>
        <v>0.4459278005974161</v>
      </c>
      <c r="S58" s="522">
        <f t="shared" si="32"/>
        <v>1.0281045139326526</v>
      </c>
      <c r="T58" s="522">
        <f t="shared" si="33"/>
        <v>0.80734926158168652</v>
      </c>
      <c r="U58" s="522">
        <f t="shared" si="34"/>
        <v>0.73255448137042178</v>
      </c>
      <c r="V58" s="522">
        <f t="shared" si="35"/>
        <v>0.56964412925038932</v>
      </c>
    </row>
    <row r="59" spans="1:22" x14ac:dyDescent="0.25">
      <c r="A59" s="95" t="s">
        <v>37</v>
      </c>
      <c r="B59" s="72">
        <f>+'Øvr forudsæt'!I61</f>
        <v>0.06</v>
      </c>
      <c r="C59" s="128">
        <f t="shared" si="30"/>
        <v>0.68679503428259803</v>
      </c>
      <c r="D59" s="89">
        <f>+'E-tjen-oversigt'!D30</f>
        <v>1.3159175118844235E-2</v>
      </c>
      <c r="E59" s="89">
        <f>+'E-tjen-oversigt'!E30</f>
        <v>1.4152130895814796E-2</v>
      </c>
      <c r="F59" s="92">
        <f>+'E-tjen-oversigt'!C30</f>
        <v>1</v>
      </c>
      <c r="G59" s="108">
        <v>0</v>
      </c>
      <c r="H59" s="356">
        <f>+Effektiviseringer!G25</f>
        <v>0.12715977620538776</v>
      </c>
      <c r="I59" s="356">
        <f>+Effektiviseringer!J25</f>
        <v>0.16823631256716953</v>
      </c>
      <c r="J59" s="356">
        <f>+Effektiviseringer!M25</f>
        <v>0.25473426671965282</v>
      </c>
      <c r="K59" s="522">
        <f t="shared" si="27"/>
        <v>0.9399213358150228</v>
      </c>
      <c r="L59" s="522">
        <f t="shared" si="27"/>
        <v>0.82040114910211537</v>
      </c>
      <c r="M59" s="522">
        <f t="shared" si="27"/>
        <v>0.78179243617429506</v>
      </c>
      <c r="N59" s="522">
        <f t="shared" si="27"/>
        <v>0.70049116356202645</v>
      </c>
      <c r="O59" s="108">
        <v>0</v>
      </c>
      <c r="P59" s="356">
        <f t="shared" si="31"/>
        <v>0.21472063332019076</v>
      </c>
      <c r="Q59" s="356">
        <f t="shared" si="31"/>
        <v>0.28747080530918789</v>
      </c>
      <c r="R59" s="356">
        <f t="shared" si="31"/>
        <v>0.4459278005974161</v>
      </c>
      <c r="S59" s="522">
        <f t="shared" si="32"/>
        <v>1.1880872616360652</v>
      </c>
      <c r="T59" s="522">
        <f t="shared" si="33"/>
        <v>0.93298041237791807</v>
      </c>
      <c r="U59" s="522">
        <f t="shared" si="34"/>
        <v>0.84654685975595767</v>
      </c>
      <c r="V59" s="522">
        <f t="shared" si="35"/>
        <v>0.65828612213688775</v>
      </c>
    </row>
    <row r="60" spans="1:22" x14ac:dyDescent="0.25">
      <c r="A60" s="27" t="s">
        <v>27</v>
      </c>
      <c r="B60" s="66"/>
      <c r="C60" s="92"/>
      <c r="D60" s="66"/>
      <c r="F60" s="92"/>
      <c r="G60" s="18"/>
      <c r="H60" s="18"/>
      <c r="I60" s="18"/>
      <c r="J60" s="18"/>
      <c r="K60" s="525"/>
      <c r="L60" s="519"/>
      <c r="M60" s="519"/>
      <c r="N60" s="526"/>
      <c r="O60" s="18"/>
      <c r="P60" s="18"/>
      <c r="Q60" s="18"/>
      <c r="R60" s="18"/>
      <c r="S60" s="525"/>
      <c r="T60" s="519"/>
      <c r="U60" s="519"/>
      <c r="V60" s="526"/>
    </row>
    <row r="61" spans="1:22" x14ac:dyDescent="0.25">
      <c r="A61" s="12" t="s">
        <v>88</v>
      </c>
      <c r="B61" s="72">
        <f>+'Øvr forudsæt'!J55</f>
        <v>1</v>
      </c>
      <c r="C61" s="93">
        <f>+'2011'!R12</f>
        <v>13.229217588126421</v>
      </c>
      <c r="D61" s="66"/>
      <c r="F61" s="92"/>
      <c r="G61" s="18"/>
      <c r="H61" s="18"/>
      <c r="I61" s="18"/>
      <c r="J61" s="18"/>
      <c r="K61" s="527">
        <f>+SUM(K62:K67)</f>
        <v>17.633686368038195</v>
      </c>
      <c r="L61" s="527">
        <f t="shared" ref="L61" si="36">+SUM(L62:L67)</f>
        <v>14.972665368808123</v>
      </c>
      <c r="M61" s="527">
        <f t="shared" ref="M61" si="37">+SUM(M62:M67)</f>
        <v>14.233740595798983</v>
      </c>
      <c r="N61" s="528">
        <f t="shared" ref="N61" si="38">+SUM(N62:N67)</f>
        <v>12.866566996585936</v>
      </c>
      <c r="O61" s="18"/>
      <c r="P61" s="18"/>
      <c r="Q61" s="18"/>
      <c r="R61" s="18"/>
      <c r="S61" s="527">
        <f>+SUM(S62:S67)</f>
        <v>20.985367680202589</v>
      </c>
      <c r="T61" s="527">
        <f t="shared" ref="T61" si="39">+SUM(T62:T67)</f>
        <v>15.622737088222754</v>
      </c>
      <c r="U61" s="527">
        <f t="shared" ref="U61:V61" si="40">+SUM(U62:U67)</f>
        <v>14.046161342994212</v>
      </c>
      <c r="V61" s="528">
        <f t="shared" si="40"/>
        <v>11.029932194211144</v>
      </c>
    </row>
    <row r="62" spans="1:22" x14ac:dyDescent="0.25">
      <c r="A62" s="94" t="s">
        <v>38</v>
      </c>
      <c r="B62" s="72">
        <f>+'Øvr forudsæt'!J56</f>
        <v>0.35</v>
      </c>
      <c r="C62" s="93">
        <f>+$C$61*B62</f>
        <v>4.6302261558442472</v>
      </c>
      <c r="D62" s="89">
        <f>+'E-tjen-oversigt'!H25</f>
        <v>1.1180045189812304E-2</v>
      </c>
      <c r="E62" s="89">
        <f>+'E-tjen-oversigt'!I25</f>
        <v>1.0398207687009053E-2</v>
      </c>
      <c r="F62" s="92">
        <f>+'E-tjen-oversigt'!C25</f>
        <v>1</v>
      </c>
      <c r="G62" s="16">
        <v>0</v>
      </c>
      <c r="H62" s="356">
        <f>+Effektiviseringer!G20</f>
        <v>0.1964135293926228</v>
      </c>
      <c r="I62" s="356">
        <f>+Effektiviseringer!J20</f>
        <v>0.23990379622210423</v>
      </c>
      <c r="J62" s="356">
        <f>+Effektiviseringer!M20</f>
        <v>0.30025260992810354</v>
      </c>
      <c r="K62" s="522">
        <f t="shared" ref="K62:N67" si="41">+$C62*(1+$D62*$F62)^$B$2*(1-G62)</f>
        <v>6.0462482930313355</v>
      </c>
      <c r="L62" s="522">
        <f t="shared" si="41"/>
        <v>4.8586833262129296</v>
      </c>
      <c r="M62" s="522">
        <f t="shared" si="41"/>
        <v>4.5957303746317004</v>
      </c>
      <c r="N62" s="522">
        <f t="shared" si="41"/>
        <v>4.2308464627753359</v>
      </c>
      <c r="O62" s="16">
        <v>0</v>
      </c>
      <c r="P62" s="356">
        <f>+P46</f>
        <v>0.33831127775326819</v>
      </c>
      <c r="Q62" s="356">
        <f t="shared" ref="Q62:R62" si="42">+Q46</f>
        <v>0.41825878787702897</v>
      </c>
      <c r="R62" s="356">
        <f t="shared" si="42"/>
        <v>0.53212806550304403</v>
      </c>
      <c r="S62" s="522">
        <f>+$C62*(1+$E62*$F62)^$C$2*(1-O62)</f>
        <v>6.9312621287732599</v>
      </c>
      <c r="T62" s="522">
        <f t="shared" ref="T62:V67" si="43">+$C62*(1+$E62*$F62)^$C$2*(1-P62)</f>
        <v>4.5863379815451406</v>
      </c>
      <c r="U62" s="522">
        <f t="shared" si="43"/>
        <v>4.0322008323346008</v>
      </c>
      <c r="V62" s="522">
        <f t="shared" si="43"/>
        <v>3.2429430206946344</v>
      </c>
    </row>
    <row r="63" spans="1:22" x14ac:dyDescent="0.25">
      <c r="A63" s="94" t="s">
        <v>39</v>
      </c>
      <c r="B63" s="72">
        <f>+'Øvr forudsæt'!J57</f>
        <v>0.19</v>
      </c>
      <c r="C63" s="93">
        <f t="shared" ref="C63:C67" si="44">+$C$61*B63</f>
        <v>2.5135513417440198</v>
      </c>
      <c r="D63" s="89">
        <f>+'E-tjen-oversigt'!H26</f>
        <v>1.1180045189812304E-2</v>
      </c>
      <c r="E63" s="89">
        <f>+'E-tjen-oversigt'!I26</f>
        <v>1.0398207687009053E-2</v>
      </c>
      <c r="F63" s="92">
        <f>+'E-tjen-oversigt'!C26</f>
        <v>1</v>
      </c>
      <c r="G63" s="16">
        <v>0</v>
      </c>
      <c r="H63" s="356">
        <f>+Effektiviseringer!G21</f>
        <v>0.12715977620538776</v>
      </c>
      <c r="I63" s="356">
        <f>+Effektiviseringer!J21</f>
        <v>0.16823631256716953</v>
      </c>
      <c r="J63" s="356">
        <f>+Effektiviseringer!M21</f>
        <v>0.25473426671965282</v>
      </c>
      <c r="K63" s="522">
        <f t="shared" si="41"/>
        <v>3.2822490733598677</v>
      </c>
      <c r="L63" s="522">
        <f t="shared" si="41"/>
        <v>2.8648790157410855</v>
      </c>
      <c r="M63" s="522">
        <f t="shared" si="41"/>
        <v>2.7300555923307943</v>
      </c>
      <c r="N63" s="522">
        <f t="shared" si="41"/>
        <v>2.446147762466282</v>
      </c>
      <c r="O63" s="16">
        <v>0</v>
      </c>
      <c r="P63" s="356">
        <f t="shared" ref="P63:R67" si="45">+P47</f>
        <v>0.21472063332019076</v>
      </c>
      <c r="Q63" s="356">
        <f t="shared" si="45"/>
        <v>0.28747080530918789</v>
      </c>
      <c r="R63" s="356">
        <f t="shared" si="45"/>
        <v>0.4459278005974161</v>
      </c>
      <c r="S63" s="522">
        <f t="shared" ref="S63:S67" si="46">+$C63*(1+$E63*$F63)^$C$2*(1-O63)</f>
        <v>3.7626851556197698</v>
      </c>
      <c r="T63" s="522">
        <f t="shared" si="43"/>
        <v>2.9547590160206125</v>
      </c>
      <c r="U63" s="522">
        <f t="shared" si="43"/>
        <v>2.6810230238088275</v>
      </c>
      <c r="V63" s="522">
        <f t="shared" si="43"/>
        <v>2.0847992398336994</v>
      </c>
    </row>
    <row r="64" spans="1:22" x14ac:dyDescent="0.25">
      <c r="A64" s="94" t="s">
        <v>40</v>
      </c>
      <c r="B64" s="72">
        <f>+'Øvr forudsæt'!J58</f>
        <v>0.09</v>
      </c>
      <c r="C64" s="93">
        <f t="shared" si="44"/>
        <v>1.1906295829313778</v>
      </c>
      <c r="D64" s="89">
        <f>+'E-tjen-oversigt'!H27</f>
        <v>1.348308970021006E-2</v>
      </c>
      <c r="E64" s="89">
        <f>+'E-tjen-oversigt'!I27</f>
        <v>1.4279455971260235E-2</v>
      </c>
      <c r="F64" s="92">
        <f>+'E-tjen-oversigt'!C27</f>
        <v>1</v>
      </c>
      <c r="G64" s="16">
        <v>0</v>
      </c>
      <c r="H64" s="356">
        <f>+Effektiviseringer!G22</f>
        <v>0.12715977620538776</v>
      </c>
      <c r="I64" s="356">
        <f>+Effektiviseringer!J22</f>
        <v>0.16823631256716953</v>
      </c>
      <c r="J64" s="356">
        <f>+Effektiviseringer!M22</f>
        <v>0.25473426671965282</v>
      </c>
      <c r="K64" s="522">
        <f t="shared" si="41"/>
        <v>1.6419987828442189</v>
      </c>
      <c r="L64" s="522">
        <f t="shared" si="41"/>
        <v>1.4332025850882288</v>
      </c>
      <c r="M64" s="522">
        <f t="shared" si="41"/>
        <v>1.3657549623787268</v>
      </c>
      <c r="N64" s="522">
        <f t="shared" si="41"/>
        <v>1.2237254269418343</v>
      </c>
      <c r="O64" s="16">
        <v>0</v>
      </c>
      <c r="P64" s="356">
        <f t="shared" si="45"/>
        <v>0.21472063332019076</v>
      </c>
      <c r="Q64" s="356">
        <f t="shared" si="45"/>
        <v>0.28747080530918789</v>
      </c>
      <c r="R64" s="356">
        <f t="shared" si="45"/>
        <v>0.4459278005974161</v>
      </c>
      <c r="S64" s="522">
        <f t="shared" si="46"/>
        <v>2.0697800712350398</v>
      </c>
      <c r="T64" s="522">
        <f t="shared" si="43"/>
        <v>1.6253555835059426</v>
      </c>
      <c r="U64" s="522">
        <f t="shared" si="43"/>
        <v>1.4747787273441946</v>
      </c>
      <c r="V64" s="522">
        <f t="shared" si="43"/>
        <v>1.1468075963488353</v>
      </c>
    </row>
    <row r="65" spans="1:22" x14ac:dyDescent="0.25">
      <c r="A65" s="94" t="s">
        <v>41</v>
      </c>
      <c r="B65" s="72">
        <f>+'Øvr forudsæt'!J59</f>
        <v>0.22</v>
      </c>
      <c r="C65" s="93">
        <f t="shared" si="44"/>
        <v>2.9104278693878127</v>
      </c>
      <c r="D65" s="89">
        <f>+'E-tjen-oversigt'!H28</f>
        <v>1.348308970021006E-2</v>
      </c>
      <c r="E65" s="89">
        <f>+'E-tjen-oversigt'!I28</f>
        <v>1.4279455971260235E-2</v>
      </c>
      <c r="F65" s="92">
        <f>+'E-tjen-oversigt'!C28</f>
        <v>1</v>
      </c>
      <c r="G65" s="16">
        <v>0</v>
      </c>
      <c r="H65" s="356">
        <f>+Effektiviseringer!G23</f>
        <v>0.12715977620538776</v>
      </c>
      <c r="I65" s="356">
        <f>+Effektiviseringer!J23</f>
        <v>0.16823631256716953</v>
      </c>
      <c r="J65" s="356">
        <f>+Effektiviseringer!M23</f>
        <v>0.25473426671965282</v>
      </c>
      <c r="K65" s="522">
        <f t="shared" si="41"/>
        <v>4.0137748025080908</v>
      </c>
      <c r="L65" s="522">
        <f t="shared" si="41"/>
        <v>3.5033840968823373</v>
      </c>
      <c r="M65" s="522">
        <f t="shared" si="41"/>
        <v>3.3385121302591103</v>
      </c>
      <c r="N65" s="522">
        <f t="shared" si="41"/>
        <v>2.9913288214133731</v>
      </c>
      <c r="O65" s="16">
        <v>0</v>
      </c>
      <c r="P65" s="356">
        <f t="shared" si="45"/>
        <v>0.21472063332019076</v>
      </c>
      <c r="Q65" s="356">
        <f t="shared" si="45"/>
        <v>0.28747080530918789</v>
      </c>
      <c r="R65" s="356">
        <f t="shared" si="45"/>
        <v>0.4459278005974161</v>
      </c>
      <c r="S65" s="522">
        <f t="shared" si="46"/>
        <v>5.0594623963523198</v>
      </c>
      <c r="T65" s="522">
        <f t="shared" si="43"/>
        <v>3.9730914263478598</v>
      </c>
      <c r="U65" s="522">
        <f t="shared" si="43"/>
        <v>3.605014666841365</v>
      </c>
      <c r="V65" s="522">
        <f t="shared" si="43"/>
        <v>2.8033074577415973</v>
      </c>
    </row>
    <row r="66" spans="1:22" x14ac:dyDescent="0.25">
      <c r="A66" s="94" t="s">
        <v>42</v>
      </c>
      <c r="B66" s="72">
        <f>+'Øvr forudsæt'!J60</f>
        <v>0.09</v>
      </c>
      <c r="C66" s="93">
        <f t="shared" si="44"/>
        <v>1.1906295829313778</v>
      </c>
      <c r="D66" s="89">
        <f>+'E-tjen-oversigt'!H29</f>
        <v>1.1180045189812304E-2</v>
      </c>
      <c r="E66" s="89">
        <f>+'E-tjen-oversigt'!I29</f>
        <v>1.0398207687009053E-2</v>
      </c>
      <c r="F66" s="92">
        <f>+'E-tjen-oversigt'!C29</f>
        <v>1</v>
      </c>
      <c r="G66" s="16">
        <v>0</v>
      </c>
      <c r="H66" s="356">
        <f>+Effektiviseringer!G24</f>
        <v>0.12715977620538776</v>
      </c>
      <c r="I66" s="356">
        <f>+Effektiviseringer!J24</f>
        <v>0.16823631256716953</v>
      </c>
      <c r="J66" s="356">
        <f>+Effektiviseringer!M24</f>
        <v>0.25473426671965282</v>
      </c>
      <c r="K66" s="522">
        <f t="shared" si="41"/>
        <v>1.5547495610652005</v>
      </c>
      <c r="L66" s="522">
        <f t="shared" si="41"/>
        <v>1.3570479548247247</v>
      </c>
      <c r="M66" s="522">
        <f t="shared" si="41"/>
        <v>1.2931842279461658</v>
      </c>
      <c r="N66" s="522">
        <f t="shared" si="41"/>
        <v>1.1587015716945546</v>
      </c>
      <c r="O66" s="16">
        <v>0</v>
      </c>
      <c r="P66" s="356">
        <f t="shared" si="45"/>
        <v>0.21472063332019076</v>
      </c>
      <c r="Q66" s="356">
        <f t="shared" si="45"/>
        <v>0.28747080530918789</v>
      </c>
      <c r="R66" s="356">
        <f t="shared" si="45"/>
        <v>0.4459278005974161</v>
      </c>
      <c r="S66" s="522">
        <f t="shared" si="46"/>
        <v>1.7823245473988383</v>
      </c>
      <c r="T66" s="522">
        <f t="shared" si="43"/>
        <v>1.3996226917992374</v>
      </c>
      <c r="U66" s="522">
        <f t="shared" si="43"/>
        <v>1.2699582744357605</v>
      </c>
      <c r="V66" s="522">
        <f t="shared" si="43"/>
        <v>0.98753648202648925</v>
      </c>
    </row>
    <row r="67" spans="1:22" ht="15.75" thickBot="1" x14ac:dyDescent="0.3">
      <c r="A67" s="96" t="s">
        <v>37</v>
      </c>
      <c r="B67" s="72">
        <f>+'Øvr forudsæt'!J61</f>
        <v>0.06</v>
      </c>
      <c r="C67" s="97">
        <f t="shared" si="44"/>
        <v>0.79375305528758522</v>
      </c>
      <c r="D67" s="89">
        <f>+'E-tjen-oversigt'!H30</f>
        <v>1.348308970021006E-2</v>
      </c>
      <c r="E67" s="89">
        <f>+'E-tjen-oversigt'!I30</f>
        <v>1.4279455971260235E-2</v>
      </c>
      <c r="F67" s="92">
        <f>+'E-tjen-oversigt'!C30</f>
        <v>1</v>
      </c>
      <c r="G67" s="61">
        <v>0</v>
      </c>
      <c r="H67" s="356">
        <f>+Effektiviseringer!G25</f>
        <v>0.12715977620538776</v>
      </c>
      <c r="I67" s="356">
        <f>+Effektiviseringer!J25</f>
        <v>0.16823631256716953</v>
      </c>
      <c r="J67" s="356">
        <f>+Effektiviseringer!M25</f>
        <v>0.25473426671965282</v>
      </c>
      <c r="K67" s="522">
        <f t="shared" si="41"/>
        <v>1.0946658552294792</v>
      </c>
      <c r="L67" s="522">
        <f t="shared" si="41"/>
        <v>0.95546839005881923</v>
      </c>
      <c r="M67" s="522">
        <f t="shared" si="41"/>
        <v>0.9105033082524846</v>
      </c>
      <c r="N67" s="522">
        <f t="shared" si="41"/>
        <v>0.81581695129455623</v>
      </c>
      <c r="O67" s="61">
        <v>0</v>
      </c>
      <c r="P67" s="356">
        <f t="shared" si="45"/>
        <v>0.21472063332019076</v>
      </c>
      <c r="Q67" s="356">
        <f t="shared" si="45"/>
        <v>0.28747080530918789</v>
      </c>
      <c r="R67" s="356">
        <f t="shared" si="45"/>
        <v>0.4459278005974161</v>
      </c>
      <c r="S67" s="522">
        <f t="shared" si="46"/>
        <v>1.3798533808233597</v>
      </c>
      <c r="T67" s="522">
        <f t="shared" si="43"/>
        <v>1.0835703890039616</v>
      </c>
      <c r="U67" s="522">
        <f t="shared" si="43"/>
        <v>0.98318581822946294</v>
      </c>
      <c r="V67" s="522">
        <f t="shared" si="43"/>
        <v>0.76453839756589015</v>
      </c>
    </row>
    <row r="68" spans="1:22" ht="15.75" thickBot="1" x14ac:dyDescent="0.3">
      <c r="A68" s="98"/>
      <c r="B68" s="16"/>
      <c r="C68" s="41"/>
      <c r="D68" s="99"/>
      <c r="E68" s="18"/>
      <c r="F68" s="16"/>
      <c r="G68" s="130"/>
      <c r="H68" s="130"/>
      <c r="I68" s="130"/>
      <c r="J68" s="41"/>
      <c r="K68" s="41"/>
      <c r="L68" s="41"/>
      <c r="M68" s="41"/>
    </row>
    <row r="69" spans="1:22" ht="15.75" x14ac:dyDescent="0.25">
      <c r="A69" s="158" t="s">
        <v>139</v>
      </c>
      <c r="B69" s="159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85"/>
      <c r="N69" s="159"/>
      <c r="O69" s="159"/>
      <c r="P69" s="159"/>
      <c r="Q69" s="85"/>
    </row>
    <row r="70" spans="1:22" x14ac:dyDescent="0.25">
      <c r="A70" s="52"/>
      <c r="B70" s="1093" t="s">
        <v>0</v>
      </c>
      <c r="C70" s="1094"/>
      <c r="D70" s="1093" t="s">
        <v>50</v>
      </c>
      <c r="E70" s="1095"/>
      <c r="F70" s="1093" t="s">
        <v>52</v>
      </c>
      <c r="G70" s="1094"/>
      <c r="H70" s="1094"/>
      <c r="I70" s="1094"/>
      <c r="J70" s="651" t="s">
        <v>290</v>
      </c>
      <c r="K70" s="652"/>
      <c r="L70" s="652">
        <f>+B1</f>
        <v>2035</v>
      </c>
      <c r="M70" s="653"/>
      <c r="N70" s="654" t="s">
        <v>0</v>
      </c>
      <c r="O70" s="652"/>
      <c r="P70" s="652">
        <f>+C1</f>
        <v>2050</v>
      </c>
      <c r="Q70" s="653"/>
    </row>
    <row r="71" spans="1:22" x14ac:dyDescent="0.25">
      <c r="A71" s="52"/>
      <c r="B71" s="1093">
        <v>2011</v>
      </c>
      <c r="C71" s="1094"/>
      <c r="D71" s="1093" t="s">
        <v>339</v>
      </c>
      <c r="E71" s="1095"/>
      <c r="F71" s="160" t="s">
        <v>53</v>
      </c>
      <c r="G71" s="161" t="s">
        <v>54</v>
      </c>
      <c r="H71" s="161" t="s">
        <v>55</v>
      </c>
      <c r="I71" s="161" t="s">
        <v>56</v>
      </c>
      <c r="J71" s="160" t="s">
        <v>53</v>
      </c>
      <c r="K71" s="161" t="s">
        <v>54</v>
      </c>
      <c r="L71" s="161" t="s">
        <v>55</v>
      </c>
      <c r="M71" s="162" t="s">
        <v>56</v>
      </c>
      <c r="N71" s="568" t="s">
        <v>53</v>
      </c>
      <c r="O71" s="569" t="s">
        <v>54</v>
      </c>
      <c r="P71" s="569" t="s">
        <v>55</v>
      </c>
      <c r="Q71" s="570" t="s">
        <v>56</v>
      </c>
    </row>
    <row r="72" spans="1:22" x14ac:dyDescent="0.25">
      <c r="A72" s="52"/>
      <c r="B72" s="163"/>
      <c r="C72" s="164" t="s">
        <v>83</v>
      </c>
      <c r="D72" s="1093" t="s">
        <v>154</v>
      </c>
      <c r="E72" s="1095"/>
      <c r="F72" s="165"/>
      <c r="G72" s="21"/>
      <c r="H72" s="21"/>
      <c r="I72" s="21"/>
      <c r="J72" s="165"/>
      <c r="K72" s="21"/>
      <c r="L72" s="21"/>
      <c r="M72" s="84"/>
      <c r="N72" s="165"/>
      <c r="O72" s="21"/>
      <c r="P72" s="21"/>
      <c r="Q72" s="84"/>
    </row>
    <row r="73" spans="1:22" x14ac:dyDescent="0.25">
      <c r="A73" s="55"/>
      <c r="B73" s="166"/>
      <c r="C73" s="167" t="s">
        <v>1</v>
      </c>
      <c r="D73" s="166" t="s">
        <v>315</v>
      </c>
      <c r="E73" s="168" t="s">
        <v>338</v>
      </c>
      <c r="F73" s="169"/>
      <c r="G73" s="168"/>
      <c r="H73" s="168"/>
      <c r="I73" s="168"/>
      <c r="J73" s="169"/>
      <c r="K73" s="168"/>
      <c r="L73" s="168"/>
      <c r="M73" s="170"/>
      <c r="N73" s="169"/>
      <c r="O73" s="168"/>
      <c r="P73" s="168"/>
      <c r="Q73" s="170"/>
    </row>
    <row r="74" spans="1:22" x14ac:dyDescent="0.25">
      <c r="A74" s="52" t="s">
        <v>108</v>
      </c>
      <c r="B74" s="160"/>
      <c r="C74" s="171">
        <f>+SUM('2011'!C10:C11)</f>
        <v>5.5554205627860537E-2</v>
      </c>
      <c r="D74" s="172">
        <v>1.4999999999999999E-2</v>
      </c>
      <c r="E74" s="130">
        <v>1.4999999999999999E-2</v>
      </c>
      <c r="F74" s="223">
        <f>+Transport!G11</f>
        <v>0</v>
      </c>
      <c r="G74" s="223">
        <f>+Transport!H11</f>
        <v>5.0000000000000001E-4</v>
      </c>
      <c r="H74" s="223">
        <f>+Transport!I11</f>
        <v>5.0000000000000001E-4</v>
      </c>
      <c r="I74" s="223">
        <f>+Transport!J11</f>
        <v>5.0000000000000001E-4</v>
      </c>
      <c r="J74" s="173">
        <f>+$C74*(1+$D74)^$B$2*(1-F74)^$B$2</f>
        <v>7.9414893159509642E-2</v>
      </c>
      <c r="K74" s="173">
        <f t="shared" ref="K74:M75" si="47">+$C74*(1+$D74)^$B$2*(1-G74)^$B$2</f>
        <v>7.846737402989179E-2</v>
      </c>
      <c r="L74" s="173">
        <f t="shared" si="47"/>
        <v>7.846737402989179E-2</v>
      </c>
      <c r="M74" s="173">
        <f t="shared" si="47"/>
        <v>7.846737402989179E-2</v>
      </c>
      <c r="N74" s="173">
        <f>+$C74*(1+$D74)^$C$2*(1-F74)^$C$2</f>
        <v>9.9287045997949491E-2</v>
      </c>
      <c r="O74" s="173">
        <f t="shared" ref="O74:Q75" si="48">+$C74*(1+$D74)^$C$2*(1-G74)^$C$2</f>
        <v>9.7369228611843994E-2</v>
      </c>
      <c r="P74" s="173">
        <f t="shared" si="48"/>
        <v>9.7369228611843994E-2</v>
      </c>
      <c r="Q74" s="173">
        <f t="shared" si="48"/>
        <v>9.7369228611843994E-2</v>
      </c>
    </row>
    <row r="75" spans="1:22" x14ac:dyDescent="0.25">
      <c r="A75" s="52" t="s">
        <v>27</v>
      </c>
      <c r="B75" s="165"/>
      <c r="C75" s="175">
        <f>+'2011'!C12</f>
        <v>4.3149536883890179E-2</v>
      </c>
      <c r="D75" s="172">
        <v>1.4999999999999999E-2</v>
      </c>
      <c r="E75" s="130">
        <v>1.4999999999999999E-2</v>
      </c>
      <c r="F75" s="223">
        <f>+Transport!G11</f>
        <v>0</v>
      </c>
      <c r="G75" s="223">
        <f>+Transport!H11</f>
        <v>5.0000000000000001E-4</v>
      </c>
      <c r="H75" s="223">
        <f>+Transport!I11</f>
        <v>5.0000000000000001E-4</v>
      </c>
      <c r="I75" s="223">
        <f>+Transport!J11</f>
        <v>5.0000000000000001E-4</v>
      </c>
      <c r="J75" s="173">
        <f t="shared" ref="J75" si="49">+$C75*(1+$D75)^$B$2*(1-F75)^$B$2</f>
        <v>6.1682384308955986E-2</v>
      </c>
      <c r="K75" s="173">
        <f t="shared" si="47"/>
        <v>6.0946436217005719E-2</v>
      </c>
      <c r="L75" s="173">
        <f t="shared" si="47"/>
        <v>6.0946436217005719E-2</v>
      </c>
      <c r="M75" s="173">
        <f t="shared" si="47"/>
        <v>6.0946436217005719E-2</v>
      </c>
      <c r="N75" s="173">
        <f>+$C75*(1+$D75)^$C$2*(1-F75)^$C$2</f>
        <v>7.7117294810754938E-2</v>
      </c>
      <c r="O75" s="173">
        <f t="shared" si="48"/>
        <v>7.5627705838991754E-2</v>
      </c>
      <c r="P75" s="173">
        <f t="shared" si="48"/>
        <v>7.5627705838991754E-2</v>
      </c>
      <c r="Q75" s="173">
        <f t="shared" si="48"/>
        <v>7.5627705838991754E-2</v>
      </c>
    </row>
    <row r="76" spans="1:22" ht="15.75" thickBot="1" x14ac:dyDescent="0.3">
      <c r="A76" s="176" t="s">
        <v>34</v>
      </c>
      <c r="B76" s="177"/>
      <c r="C76" s="178">
        <f>+C74+C75</f>
        <v>9.8703742511750708E-2</v>
      </c>
      <c r="D76" s="177"/>
      <c r="E76" s="179"/>
      <c r="F76" s="177"/>
      <c r="G76" s="179"/>
      <c r="H76" s="179"/>
      <c r="I76" s="179"/>
      <c r="J76" s="173">
        <f>+J74+J75</f>
        <v>0.14109727746846562</v>
      </c>
      <c r="K76" s="173">
        <f t="shared" ref="K76:M76" si="50">+K74+K75</f>
        <v>0.1394138102468975</v>
      </c>
      <c r="L76" s="173">
        <f t="shared" si="50"/>
        <v>0.1394138102468975</v>
      </c>
      <c r="M76" s="173">
        <f t="shared" si="50"/>
        <v>0.1394138102468975</v>
      </c>
      <c r="N76" s="180">
        <f>+N74+N75</f>
        <v>0.17640434080870443</v>
      </c>
      <c r="O76" s="178">
        <f t="shared" ref="O76:Q76" si="51">+O74+O75</f>
        <v>0.17299693445083575</v>
      </c>
      <c r="P76" s="178">
        <f t="shared" si="51"/>
        <v>0.17299693445083575</v>
      </c>
      <c r="Q76" s="181">
        <f t="shared" si="51"/>
        <v>0.17299693445083575</v>
      </c>
    </row>
    <row r="77" spans="1:22" ht="15.75" thickBot="1" x14ac:dyDescent="0.3"/>
    <row r="78" spans="1:22" ht="18.75" x14ac:dyDescent="0.3">
      <c r="A78" s="218" t="s">
        <v>7</v>
      </c>
      <c r="B78" s="25"/>
      <c r="C78" s="25"/>
      <c r="D78" s="25"/>
      <c r="E78" s="25"/>
      <c r="F78" s="25"/>
      <c r="G78" s="26"/>
    </row>
    <row r="79" spans="1:22" x14ac:dyDescent="0.25">
      <c r="A79" s="131" t="s">
        <v>239</v>
      </c>
      <c r="B79" s="1090" t="s">
        <v>7</v>
      </c>
      <c r="C79" s="1091"/>
      <c r="D79" s="1091"/>
      <c r="E79" s="1091"/>
      <c r="F79" s="1091"/>
      <c r="G79" s="1092"/>
    </row>
    <row r="80" spans="1:22" x14ac:dyDescent="0.25">
      <c r="A80" s="131"/>
      <c r="B80" s="148" t="s">
        <v>129</v>
      </c>
      <c r="C80" s="149" t="s">
        <v>130</v>
      </c>
      <c r="D80" s="149" t="s">
        <v>131</v>
      </c>
      <c r="E80" s="149" t="s">
        <v>132</v>
      </c>
      <c r="F80" s="149" t="s">
        <v>133</v>
      </c>
      <c r="G80" s="219" t="s">
        <v>134</v>
      </c>
    </row>
    <row r="81" spans="1:7" x14ac:dyDescent="0.25">
      <c r="A81" s="124" t="s">
        <v>1</v>
      </c>
      <c r="B81" s="151" t="s">
        <v>16</v>
      </c>
      <c r="C81" s="152" t="s">
        <v>17</v>
      </c>
      <c r="D81" s="152"/>
      <c r="E81" s="152" t="s">
        <v>18</v>
      </c>
      <c r="F81" s="152"/>
      <c r="G81" s="220"/>
    </row>
    <row r="82" spans="1:7" x14ac:dyDescent="0.25">
      <c r="A82" s="52" t="s">
        <v>108</v>
      </c>
      <c r="B82" s="41">
        <f>+'2011'!J10+'2011'!J11</f>
        <v>0</v>
      </c>
      <c r="C82" s="41">
        <f>+'2011'!K10+'2011'!K11</f>
        <v>0</v>
      </c>
      <c r="D82" s="41">
        <f>+'2011'!L10+'2011'!L11</f>
        <v>0.69113599327902764</v>
      </c>
      <c r="E82" s="41">
        <f>+'2011'!M10+'2011'!M11</f>
        <v>0.22538930842537735</v>
      </c>
      <c r="F82" s="41">
        <f>+'2011'!N10+'2011'!N11</f>
        <v>0</v>
      </c>
      <c r="G82" s="44">
        <f>+'2011'!O10+'2011'!O11</f>
        <v>0.2253893084253773</v>
      </c>
    </row>
    <row r="83" spans="1:7" x14ac:dyDescent="0.25">
      <c r="A83" s="55" t="s">
        <v>27</v>
      </c>
      <c r="B83" s="42">
        <f>+'2011'!J12</f>
        <v>0</v>
      </c>
      <c r="C83" s="42">
        <f>+'2011'!K12</f>
        <v>0</v>
      </c>
      <c r="D83" s="42">
        <f>+'2011'!L12</f>
        <v>0.55812987925901425</v>
      </c>
      <c r="E83" s="42">
        <f>+'2011'!M12</f>
        <v>1.1434627274230897</v>
      </c>
      <c r="F83" s="42">
        <f>+'2011'!N12</f>
        <v>0</v>
      </c>
      <c r="G83" s="45">
        <f>+'2011'!O12</f>
        <v>0.98899989249090281</v>
      </c>
    </row>
    <row r="84" spans="1:7" ht="15.75" thickBot="1" x14ac:dyDescent="0.3">
      <c r="A84" s="13" t="s">
        <v>34</v>
      </c>
      <c r="B84" s="46">
        <f>SUM(B82:B83)</f>
        <v>0</v>
      </c>
      <c r="C84" s="46">
        <f t="shared" ref="C84:G84" si="52">SUM(C82:C83)</f>
        <v>0</v>
      </c>
      <c r="D84" s="46">
        <f t="shared" si="52"/>
        <v>1.2492658725380419</v>
      </c>
      <c r="E84" s="46">
        <f t="shared" si="52"/>
        <v>1.368852035848467</v>
      </c>
      <c r="F84" s="46">
        <f t="shared" si="52"/>
        <v>0</v>
      </c>
      <c r="G84" s="47">
        <f t="shared" si="52"/>
        <v>1.2143892009162802</v>
      </c>
    </row>
    <row r="85" spans="1:7" x14ac:dyDescent="0.25">
      <c r="A85" s="27" t="s">
        <v>90</v>
      </c>
      <c r="B85" s="376" t="s">
        <v>91</v>
      </c>
      <c r="C85" s="18"/>
      <c r="D85" s="18"/>
      <c r="E85" s="18"/>
      <c r="F85" s="18"/>
      <c r="G85" s="28"/>
    </row>
    <row r="86" spans="1:7" x14ac:dyDescent="0.25">
      <c r="A86" s="30"/>
      <c r="B86" s="135" t="s">
        <v>82</v>
      </c>
      <c r="C86" s="18"/>
      <c r="D86" s="18"/>
      <c r="E86" s="18"/>
      <c r="F86" s="18"/>
      <c r="G86" s="28"/>
    </row>
    <row r="87" spans="1:7" x14ac:dyDescent="0.25">
      <c r="A87" s="52" t="s">
        <v>108</v>
      </c>
      <c r="B87" s="136">
        <f>+'E-tjen-oversigt'!D27</f>
        <v>1.3159175118844235E-2</v>
      </c>
      <c r="C87" s="18"/>
      <c r="D87" s="18"/>
      <c r="E87" s="18"/>
      <c r="F87" s="18"/>
      <c r="G87" s="28"/>
    </row>
    <row r="88" spans="1:7" x14ac:dyDescent="0.25">
      <c r="A88" s="52" t="s">
        <v>27</v>
      </c>
      <c r="B88" s="136">
        <f>+'E-tjen-oversigt'!H27</f>
        <v>1.348308970021006E-2</v>
      </c>
      <c r="C88" s="18"/>
      <c r="D88" s="18"/>
      <c r="E88" s="18"/>
      <c r="F88" s="18"/>
      <c r="G88" s="28"/>
    </row>
    <row r="89" spans="1:7" x14ac:dyDescent="0.25">
      <c r="A89" s="12"/>
      <c r="B89" s="18"/>
      <c r="C89" s="18"/>
      <c r="D89" s="18"/>
      <c r="E89" s="18"/>
      <c r="F89" s="18"/>
      <c r="G89" s="28"/>
    </row>
    <row r="90" spans="1:7" x14ac:dyDescent="0.25">
      <c r="A90" s="221" t="s">
        <v>135</v>
      </c>
      <c r="B90" s="1090" t="s">
        <v>7</v>
      </c>
      <c r="C90" s="1091"/>
      <c r="D90" s="1091"/>
      <c r="E90" s="1091"/>
      <c r="F90" s="1091"/>
      <c r="G90" s="1092"/>
    </row>
    <row r="91" spans="1:7" x14ac:dyDescent="0.25">
      <c r="A91" s="131"/>
      <c r="B91" s="148" t="s">
        <v>129</v>
      </c>
      <c r="C91" s="149" t="s">
        <v>130</v>
      </c>
      <c r="D91" s="149" t="s">
        <v>131</v>
      </c>
      <c r="E91" s="149" t="s">
        <v>132</v>
      </c>
      <c r="F91" s="149" t="s">
        <v>133</v>
      </c>
      <c r="G91" s="219" t="s">
        <v>134</v>
      </c>
    </row>
    <row r="92" spans="1:7" x14ac:dyDescent="0.25">
      <c r="A92" s="124"/>
      <c r="B92" s="151" t="s">
        <v>16</v>
      </c>
      <c r="C92" s="152" t="s">
        <v>17</v>
      </c>
      <c r="D92" s="152"/>
      <c r="E92" s="152" t="s">
        <v>18</v>
      </c>
      <c r="F92" s="152"/>
      <c r="G92" s="220"/>
    </row>
    <row r="93" spans="1:7" x14ac:dyDescent="0.25">
      <c r="A93" s="27" t="s">
        <v>136</v>
      </c>
      <c r="B93" s="18"/>
      <c r="C93" s="18"/>
      <c r="D93" s="18"/>
      <c r="E93" s="18"/>
      <c r="F93" s="18"/>
      <c r="G93" s="28"/>
    </row>
    <row r="94" spans="1:7" x14ac:dyDescent="0.25">
      <c r="A94" s="52" t="s">
        <v>108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5">
        <v>0</v>
      </c>
    </row>
    <row r="95" spans="1:7" x14ac:dyDescent="0.25">
      <c r="A95" s="55" t="s">
        <v>27</v>
      </c>
      <c r="B95" s="108">
        <v>0</v>
      </c>
      <c r="C95" s="108">
        <v>0</v>
      </c>
      <c r="D95" s="108">
        <v>0</v>
      </c>
      <c r="E95" s="108">
        <v>0</v>
      </c>
      <c r="F95" s="108">
        <v>0</v>
      </c>
      <c r="G95" s="122">
        <v>0</v>
      </c>
    </row>
    <row r="96" spans="1:7" x14ac:dyDescent="0.25">
      <c r="A96" s="27" t="s">
        <v>54</v>
      </c>
      <c r="B96" s="16"/>
      <c r="C96" s="16"/>
      <c r="D96" s="16"/>
      <c r="E96" s="16"/>
      <c r="F96" s="16"/>
      <c r="G96" s="15"/>
    </row>
    <row r="97" spans="1:7" x14ac:dyDescent="0.25">
      <c r="A97" s="52" t="s">
        <v>108</v>
      </c>
      <c r="B97" s="903">
        <v>5.0000000000000001E-3</v>
      </c>
      <c r="C97" s="903">
        <v>5.0000000000000001E-3</v>
      </c>
      <c r="D97" s="903">
        <v>5.0000000000000001E-3</v>
      </c>
      <c r="E97" s="903">
        <v>5.0000000000000001E-3</v>
      </c>
      <c r="F97" s="903">
        <v>5.0000000000000001E-3</v>
      </c>
      <c r="G97" s="904">
        <v>5.0000000000000001E-3</v>
      </c>
    </row>
    <row r="98" spans="1:7" x14ac:dyDescent="0.25">
      <c r="A98" s="55" t="s">
        <v>27</v>
      </c>
      <c r="B98" s="905">
        <v>5.0000000000000001E-3</v>
      </c>
      <c r="C98" s="905">
        <v>5.0000000000000001E-3</v>
      </c>
      <c r="D98" s="905">
        <v>5.0000000000000001E-3</v>
      </c>
      <c r="E98" s="905">
        <v>5.0000000000000001E-3</v>
      </c>
      <c r="F98" s="905">
        <v>5.0000000000000001E-3</v>
      </c>
      <c r="G98" s="906">
        <v>5.0000000000000001E-3</v>
      </c>
    </row>
    <row r="99" spans="1:7" x14ac:dyDescent="0.25">
      <c r="A99" s="27" t="s">
        <v>55</v>
      </c>
      <c r="B99" s="907"/>
      <c r="C99" s="907"/>
      <c r="D99" s="907"/>
      <c r="E99" s="907"/>
      <c r="F99" s="907"/>
      <c r="G99" s="908"/>
    </row>
    <row r="100" spans="1:7" x14ac:dyDescent="0.25">
      <c r="A100" s="52" t="s">
        <v>108</v>
      </c>
      <c r="B100" s="888">
        <v>9.4999999999999998E-3</v>
      </c>
      <c r="C100" s="888">
        <v>9.4999999999999998E-3</v>
      </c>
      <c r="D100" s="888">
        <v>9.4999999999999998E-3</v>
      </c>
      <c r="E100" s="888">
        <v>9.4999999999999998E-3</v>
      </c>
      <c r="F100" s="888">
        <v>9.4999999999999998E-3</v>
      </c>
      <c r="G100" s="889">
        <v>9.4999999999999998E-3</v>
      </c>
    </row>
    <row r="101" spans="1:7" x14ac:dyDescent="0.25">
      <c r="A101" s="55" t="s">
        <v>27</v>
      </c>
      <c r="B101" s="909">
        <v>9.4999999999999998E-3</v>
      </c>
      <c r="C101" s="909">
        <v>9.4999999999999998E-3</v>
      </c>
      <c r="D101" s="909">
        <v>9.4999999999999998E-3</v>
      </c>
      <c r="E101" s="909">
        <v>9.4999999999999998E-3</v>
      </c>
      <c r="F101" s="909">
        <v>9.4999999999999998E-3</v>
      </c>
      <c r="G101" s="910">
        <v>9.4999999999999998E-3</v>
      </c>
    </row>
    <row r="102" spans="1:7" x14ac:dyDescent="0.25">
      <c r="A102" s="27" t="s">
        <v>119</v>
      </c>
      <c r="B102" s="907"/>
      <c r="C102" s="907"/>
      <c r="D102" s="907"/>
      <c r="E102" s="907"/>
      <c r="F102" s="907"/>
      <c r="G102" s="908"/>
    </row>
    <row r="103" spans="1:7" x14ac:dyDescent="0.25">
      <c r="A103" s="52" t="s">
        <v>108</v>
      </c>
      <c r="B103" s="888">
        <v>1.2500000000000001E-2</v>
      </c>
      <c r="C103" s="888">
        <v>1.2500000000000001E-2</v>
      </c>
      <c r="D103" s="888">
        <v>1.2500000000000001E-2</v>
      </c>
      <c r="E103" s="888">
        <v>1.2500000000000001E-2</v>
      </c>
      <c r="F103" s="888">
        <v>1.2500000000000001E-2</v>
      </c>
      <c r="G103" s="889">
        <v>1.2500000000000001E-2</v>
      </c>
    </row>
    <row r="104" spans="1:7" x14ac:dyDescent="0.25">
      <c r="A104" s="55" t="s">
        <v>27</v>
      </c>
      <c r="B104" s="909">
        <v>1.2500000000000001E-2</v>
      </c>
      <c r="C104" s="909">
        <v>1.2500000000000001E-2</v>
      </c>
      <c r="D104" s="909">
        <v>1.2500000000000001E-2</v>
      </c>
      <c r="E104" s="909">
        <v>1.2500000000000001E-2</v>
      </c>
      <c r="F104" s="909">
        <v>1.2500000000000001E-2</v>
      </c>
      <c r="G104" s="910">
        <v>1.2500000000000001E-2</v>
      </c>
    </row>
    <row r="105" spans="1:7" x14ac:dyDescent="0.25">
      <c r="A105" s="12"/>
      <c r="B105" s="18"/>
      <c r="C105" s="18"/>
      <c r="D105" s="18"/>
      <c r="E105" s="18"/>
      <c r="F105" s="18"/>
      <c r="G105" s="28"/>
    </row>
    <row r="106" spans="1:7" x14ac:dyDescent="0.25">
      <c r="A106" s="221" t="s">
        <v>291</v>
      </c>
      <c r="B106" s="1090" t="s">
        <v>7</v>
      </c>
      <c r="C106" s="1091"/>
      <c r="D106" s="1091"/>
      <c r="E106" s="1091"/>
      <c r="F106" s="1091"/>
      <c r="G106" s="1092"/>
    </row>
    <row r="107" spans="1:7" x14ac:dyDescent="0.25">
      <c r="A107" s="131"/>
      <c r="B107" s="148" t="s">
        <v>129</v>
      </c>
      <c r="C107" s="149" t="s">
        <v>130</v>
      </c>
      <c r="D107" s="149" t="s">
        <v>131</v>
      </c>
      <c r="E107" s="149" t="s">
        <v>132</v>
      </c>
      <c r="F107" s="149" t="s">
        <v>133</v>
      </c>
      <c r="G107" s="219" t="s">
        <v>134</v>
      </c>
    </row>
    <row r="108" spans="1:7" ht="15.75" thickBot="1" x14ac:dyDescent="0.3">
      <c r="A108" s="131"/>
      <c r="B108" s="531" t="s">
        <v>16</v>
      </c>
      <c r="C108" s="532" t="s">
        <v>17</v>
      </c>
      <c r="D108" s="532"/>
      <c r="E108" s="532" t="s">
        <v>18</v>
      </c>
      <c r="F108" s="532"/>
      <c r="G108" s="533"/>
    </row>
    <row r="109" spans="1:7" x14ac:dyDescent="0.25">
      <c r="A109" s="60" t="s">
        <v>136</v>
      </c>
      <c r="B109" s="534">
        <f>+B110+B111</f>
        <v>0</v>
      </c>
      <c r="C109" s="534">
        <f t="shared" ref="C109:G109" si="53">+C110+C111</f>
        <v>0</v>
      </c>
      <c r="D109" s="535">
        <f t="shared" si="53"/>
        <v>1.715579837131034</v>
      </c>
      <c r="E109" s="535">
        <f t="shared" si="53"/>
        <v>1.8854100727073904</v>
      </c>
      <c r="F109" s="535">
        <f t="shared" si="53"/>
        <v>0</v>
      </c>
      <c r="G109" s="536">
        <f t="shared" si="53"/>
        <v>1.6723901792079556</v>
      </c>
    </row>
    <row r="110" spans="1:7" x14ac:dyDescent="0.25">
      <c r="A110" s="52" t="s">
        <v>108</v>
      </c>
      <c r="B110" s="222">
        <f>+B82*(1+$B87)^$B$2*(1-B94)^$B$2</f>
        <v>0</v>
      </c>
      <c r="C110" s="222">
        <f t="shared" ref="C110:G110" si="54">+C82*(1+$B87)^$B$2*(1-C94)^$B$2</f>
        <v>0</v>
      </c>
      <c r="D110" s="222">
        <f t="shared" si="54"/>
        <v>0.94586220576162094</v>
      </c>
      <c r="E110" s="222">
        <f t="shared" si="54"/>
        <v>0.30845916070854251</v>
      </c>
      <c r="F110" s="222">
        <f t="shared" si="54"/>
        <v>0</v>
      </c>
      <c r="G110" s="912">
        <f t="shared" si="54"/>
        <v>0.3084591607085424</v>
      </c>
    </row>
    <row r="111" spans="1:7" x14ac:dyDescent="0.25">
      <c r="A111" s="55" t="s">
        <v>27</v>
      </c>
      <c r="B111" s="217">
        <f>+B83*(1+$B88)^$B$2*(1-B95)^$B$2</f>
        <v>0</v>
      </c>
      <c r="C111" s="217">
        <f t="shared" ref="C111:G111" si="55">+C83*(1+$B88)^$B$2*(1-C95)^$B$2</f>
        <v>0</v>
      </c>
      <c r="D111" s="217">
        <f t="shared" si="55"/>
        <v>0.76971763136941307</v>
      </c>
      <c r="E111" s="217">
        <f>+E83*(1+$B88)^$B$2*(1-E95)^$B$2</f>
        <v>1.5769509119988478</v>
      </c>
      <c r="F111" s="217">
        <f t="shared" si="55"/>
        <v>0</v>
      </c>
      <c r="G111" s="913">
        <f t="shared" si="55"/>
        <v>1.3639310184994133</v>
      </c>
    </row>
    <row r="112" spans="1:7" x14ac:dyDescent="0.25">
      <c r="A112" s="27" t="s">
        <v>54</v>
      </c>
      <c r="B112" s="406">
        <f>+B113+B114</f>
        <v>0</v>
      </c>
      <c r="C112" s="406">
        <f t="shared" ref="C112:G112" si="56">+C113+C114</f>
        <v>0</v>
      </c>
      <c r="D112" s="530">
        <f t="shared" si="56"/>
        <v>1.5211248851374937</v>
      </c>
      <c r="E112" s="530">
        <f t="shared" si="56"/>
        <v>1.6717054597005341</v>
      </c>
      <c r="F112" s="530">
        <f t="shared" si="56"/>
        <v>0</v>
      </c>
      <c r="G112" s="537">
        <f t="shared" si="56"/>
        <v>1.4828306233226456</v>
      </c>
    </row>
    <row r="113" spans="1:10" x14ac:dyDescent="0.25">
      <c r="A113" s="52" t="s">
        <v>108</v>
      </c>
      <c r="B113" s="215">
        <f>+B82*(1+$B87)^$B$2*(1-B97)^$B$2</f>
        <v>0</v>
      </c>
      <c r="C113" s="215">
        <f t="shared" ref="C113:G113" si="57">+C82*(1+$B87)^$B$2*(1-C97)^$B$2</f>
        <v>0</v>
      </c>
      <c r="D113" s="215">
        <f>+D82*(1+$B87)^$B$2*(1-D97)^$B$2</f>
        <v>0.83865204518905179</v>
      </c>
      <c r="E113" s="215">
        <f t="shared" si="57"/>
        <v>0.27349639768851636</v>
      </c>
      <c r="F113" s="215">
        <f t="shared" si="57"/>
        <v>0</v>
      </c>
      <c r="G113" s="914">
        <f t="shared" si="57"/>
        <v>0.27349639768851625</v>
      </c>
    </row>
    <row r="114" spans="1:10" x14ac:dyDescent="0.25">
      <c r="A114" s="55" t="s">
        <v>27</v>
      </c>
      <c r="B114" s="216">
        <f>+B83*(1+$B88)^$B$2*(1-B98)^$B$2</f>
        <v>0</v>
      </c>
      <c r="C114" s="216">
        <f t="shared" ref="C114:G114" si="58">+C83*(1+$B88)^$B$2*(1-C98)^$B$2</f>
        <v>0</v>
      </c>
      <c r="D114" s="216">
        <f>+D83*(1+$B88)^$B$2*(1-D98)^$B$2</f>
        <v>0.68247283994844188</v>
      </c>
      <c r="E114" s="216">
        <f t="shared" si="58"/>
        <v>1.3982090620120178</v>
      </c>
      <c r="F114" s="216">
        <f t="shared" si="58"/>
        <v>0</v>
      </c>
      <c r="G114" s="915">
        <f t="shared" si="58"/>
        <v>1.2093342256341293</v>
      </c>
    </row>
    <row r="115" spans="1:10" x14ac:dyDescent="0.25">
      <c r="A115" s="27" t="s">
        <v>55</v>
      </c>
      <c r="B115" s="406">
        <f>+B116+B117</f>
        <v>0</v>
      </c>
      <c r="C115" s="406">
        <f t="shared" ref="C115:G115" si="59">+C116+C117</f>
        <v>0</v>
      </c>
      <c r="D115" s="530">
        <f t="shared" si="59"/>
        <v>1.3643269262226976</v>
      </c>
      <c r="E115" s="530">
        <f t="shared" si="59"/>
        <v>1.4993856149929303</v>
      </c>
      <c r="F115" s="530">
        <f t="shared" si="59"/>
        <v>0</v>
      </c>
      <c r="G115" s="537">
        <f t="shared" si="59"/>
        <v>1.3299800471305867</v>
      </c>
    </row>
    <row r="116" spans="1:10" x14ac:dyDescent="0.25">
      <c r="A116" s="52" t="s">
        <v>108</v>
      </c>
      <c r="B116" s="222">
        <f>+B82*(1+$B87)^$B$2*(1-B100)^$B$2</f>
        <v>0</v>
      </c>
      <c r="C116" s="222">
        <f t="shared" ref="C116:G116" si="60">+C82*(1+$B87)^$B$2*(1-C100)^$B$2</f>
        <v>0</v>
      </c>
      <c r="D116" s="222">
        <f t="shared" si="60"/>
        <v>0.7522035686634202</v>
      </c>
      <c r="E116" s="222">
        <f t="shared" si="60"/>
        <v>0.24530431606056216</v>
      </c>
      <c r="F116" s="222">
        <f t="shared" si="60"/>
        <v>0</v>
      </c>
      <c r="G116" s="912">
        <f t="shared" si="60"/>
        <v>0.24530431606056205</v>
      </c>
    </row>
    <row r="117" spans="1:10" x14ac:dyDescent="0.25">
      <c r="A117" s="55" t="s">
        <v>27</v>
      </c>
      <c r="B117" s="217">
        <f>+B83*(1+$B88)^$B$2*(1-B101)^$B$2</f>
        <v>0</v>
      </c>
      <c r="C117" s="217">
        <f t="shared" ref="C117:G117" si="61">+C83*(1+$B88)^$B$2*(1-C101)^$B$2</f>
        <v>0</v>
      </c>
      <c r="D117" s="217">
        <f t="shared" si="61"/>
        <v>0.61212335755927738</v>
      </c>
      <c r="E117" s="217">
        <f t="shared" si="61"/>
        <v>1.2540812989323682</v>
      </c>
      <c r="F117" s="217">
        <f t="shared" si="61"/>
        <v>0</v>
      </c>
      <c r="G117" s="913">
        <f t="shared" si="61"/>
        <v>1.0846757310700246</v>
      </c>
    </row>
    <row r="118" spans="1:10" x14ac:dyDescent="0.25">
      <c r="A118" s="27" t="s">
        <v>119</v>
      </c>
      <c r="B118" s="406">
        <f>+B119+B120</f>
        <v>0</v>
      </c>
      <c r="C118" s="406">
        <f t="shared" ref="C118:G118" si="62">+C119+C120</f>
        <v>0</v>
      </c>
      <c r="D118" s="530">
        <f t="shared" si="62"/>
        <v>1.2685320273736993</v>
      </c>
      <c r="E118" s="530">
        <f t="shared" si="62"/>
        <v>1.3941077006138913</v>
      </c>
      <c r="F118" s="530">
        <f t="shared" si="62"/>
        <v>0</v>
      </c>
      <c r="G118" s="537">
        <f t="shared" si="62"/>
        <v>1.2365967812598491</v>
      </c>
    </row>
    <row r="119" spans="1:10" x14ac:dyDescent="0.25">
      <c r="A119" s="52" t="s">
        <v>108</v>
      </c>
      <c r="B119" s="222">
        <f>+B82*(1+$B87)^$B$2*(1-B103)^$B$2</f>
        <v>0</v>
      </c>
      <c r="C119" s="222">
        <f t="shared" ref="C119:G119" si="63">+C82*(1+$B87)^$B$2*(1-C103)^$B$2</f>
        <v>0</v>
      </c>
      <c r="D119" s="222">
        <f t="shared" si="63"/>
        <v>0.69938832080089586</v>
      </c>
      <c r="E119" s="222">
        <f t="shared" si="63"/>
        <v>0.22808051017313913</v>
      </c>
      <c r="F119" s="222">
        <f t="shared" si="63"/>
        <v>0</v>
      </c>
      <c r="G119" s="912">
        <f t="shared" si="63"/>
        <v>0.22808051017313904</v>
      </c>
    </row>
    <row r="120" spans="1:10" ht="15.75" thickBot="1" x14ac:dyDescent="0.3">
      <c r="A120" s="38" t="s">
        <v>27</v>
      </c>
      <c r="B120" s="916">
        <f>+B83*(1+$B88)^$B$2*(1-B104)^$B$2</f>
        <v>0</v>
      </c>
      <c r="C120" s="916">
        <f t="shared" ref="C120:G120" si="64">+C83*(1+$B88)^$B$2*(1-C104)^$B$2</f>
        <v>0</v>
      </c>
      <c r="D120" s="916">
        <f t="shared" si="64"/>
        <v>0.56914370657280355</v>
      </c>
      <c r="E120" s="916">
        <f t="shared" si="64"/>
        <v>1.1660271904407522</v>
      </c>
      <c r="F120" s="916">
        <f t="shared" si="64"/>
        <v>0</v>
      </c>
      <c r="G120" s="917">
        <f t="shared" si="64"/>
        <v>1.0085162710867099</v>
      </c>
    </row>
    <row r="121" spans="1:10" x14ac:dyDescent="0.25">
      <c r="A121" s="12"/>
      <c r="B121" s="18"/>
      <c r="C121" s="18"/>
      <c r="D121" s="18"/>
      <c r="E121" s="18"/>
      <c r="F121" s="18"/>
      <c r="G121" s="28"/>
    </row>
    <row r="122" spans="1:10" x14ac:dyDescent="0.25">
      <c r="A122" s="221" t="s">
        <v>137</v>
      </c>
      <c r="B122" s="1090" t="s">
        <v>7</v>
      </c>
      <c r="C122" s="1091"/>
      <c r="D122" s="1091"/>
      <c r="E122" s="1091"/>
      <c r="F122" s="1091"/>
      <c r="G122" s="1092"/>
    </row>
    <row r="123" spans="1:10" x14ac:dyDescent="0.25">
      <c r="A123" s="131"/>
      <c r="B123" s="148" t="s">
        <v>129</v>
      </c>
      <c r="C123" s="149" t="s">
        <v>130</v>
      </c>
      <c r="D123" s="149" t="s">
        <v>131</v>
      </c>
      <c r="E123" s="149" t="s">
        <v>132</v>
      </c>
      <c r="F123" s="149" t="s">
        <v>133</v>
      </c>
      <c r="G123" s="219" t="s">
        <v>134</v>
      </c>
    </row>
    <row r="124" spans="1:10" ht="15.75" thickBot="1" x14ac:dyDescent="0.3">
      <c r="A124" s="131"/>
      <c r="B124" s="531" t="s">
        <v>16</v>
      </c>
      <c r="C124" s="532" t="s">
        <v>17</v>
      </c>
      <c r="D124" s="532"/>
      <c r="E124" s="532" t="s">
        <v>18</v>
      </c>
      <c r="F124" s="532"/>
      <c r="G124" s="533"/>
    </row>
    <row r="125" spans="1:10" s="7" customFormat="1" x14ac:dyDescent="0.25">
      <c r="A125" s="60" t="s">
        <v>136</v>
      </c>
      <c r="B125" s="534">
        <f>+B126+B127</f>
        <v>0</v>
      </c>
      <c r="C125" s="534">
        <f t="shared" ref="C125:G125" si="65">+C126+C127</f>
        <v>0</v>
      </c>
      <c r="D125" s="535">
        <f t="shared" si="65"/>
        <v>2.0917591613082323</v>
      </c>
      <c r="E125" s="535">
        <f t="shared" si="65"/>
        <v>2.3031033297179491</v>
      </c>
      <c r="F125" s="535">
        <f t="shared" si="65"/>
        <v>0</v>
      </c>
      <c r="G125" s="536">
        <f t="shared" si="65"/>
        <v>2.042687269440266</v>
      </c>
    </row>
    <row r="126" spans="1:10" x14ac:dyDescent="0.25">
      <c r="A126" s="52" t="s">
        <v>108</v>
      </c>
      <c r="B126" s="222">
        <f>+B82*(1+$B87)^$C$2*(1-B94)^$C$2</f>
        <v>0</v>
      </c>
      <c r="C126" s="222">
        <f t="shared" ref="C126:G126" si="66">+C82*(1+$B87)^$C$2*(1-C94)^$C$2</f>
        <v>0</v>
      </c>
      <c r="D126" s="222">
        <f>+D82*(1+$B87)^$C$2*(1-D94)^$C$2</f>
        <v>1.1507821013979833</v>
      </c>
      <c r="E126" s="222">
        <f t="shared" si="66"/>
        <v>0.3752864624396412</v>
      </c>
      <c r="F126" s="222">
        <f t="shared" si="66"/>
        <v>0</v>
      </c>
      <c r="G126" s="912">
        <f t="shared" si="66"/>
        <v>0.37528646243964114</v>
      </c>
      <c r="I126" s="911"/>
      <c r="J126" s="911"/>
    </row>
    <row r="127" spans="1:10" x14ac:dyDescent="0.25">
      <c r="A127" s="55" t="s">
        <v>27</v>
      </c>
      <c r="B127" s="217">
        <f>+B83*(1+$B88)^$C$2*(1-B95)^$C$2</f>
        <v>0</v>
      </c>
      <c r="C127" s="217">
        <f t="shared" ref="C127:G127" si="67">+C83*(1+$B88)^$C$2*(1-C95)^$C$2</f>
        <v>0</v>
      </c>
      <c r="D127" s="217">
        <f t="shared" si="67"/>
        <v>0.94097705991024871</v>
      </c>
      <c r="E127" s="217">
        <f t="shared" si="67"/>
        <v>1.927816867278308</v>
      </c>
      <c r="F127" s="217">
        <f t="shared" si="67"/>
        <v>0</v>
      </c>
      <c r="G127" s="913">
        <f t="shared" si="67"/>
        <v>1.667400807000625</v>
      </c>
    </row>
    <row r="128" spans="1:10" s="7" customFormat="1" x14ac:dyDescent="0.25">
      <c r="A128" s="27" t="s">
        <v>54</v>
      </c>
      <c r="B128" s="406">
        <f>+B129+B130</f>
        <v>0</v>
      </c>
      <c r="C128" s="406">
        <f t="shared" ref="C128:G128" si="68">+C129+C130</f>
        <v>0</v>
      </c>
      <c r="D128" s="530">
        <f t="shared" si="68"/>
        <v>1.7203302613387346</v>
      </c>
      <c r="E128" s="530">
        <f t="shared" si="68"/>
        <v>1.8941465281432333</v>
      </c>
      <c r="F128" s="530">
        <f t="shared" si="68"/>
        <v>0</v>
      </c>
      <c r="G128" s="537">
        <f t="shared" si="68"/>
        <v>1.6799719533063673</v>
      </c>
    </row>
    <row r="129" spans="1:20" x14ac:dyDescent="0.25">
      <c r="A129" s="52" t="s">
        <v>108</v>
      </c>
      <c r="B129" s="215">
        <f>+B82*(1+$B87)^$C$2*(1-B97)^$C$2</f>
        <v>0</v>
      </c>
      <c r="C129" s="215">
        <f t="shared" ref="C129:G129" si="69">+C82*(1+$B87)^$C$2*(1-C97)^$C$2</f>
        <v>0</v>
      </c>
      <c r="D129" s="215">
        <f t="shared" si="69"/>
        <v>0.94644035023791517</v>
      </c>
      <c r="E129" s="215">
        <f t="shared" si="69"/>
        <v>0.30864770187113433</v>
      </c>
      <c r="F129" s="215">
        <f t="shared" si="69"/>
        <v>0</v>
      </c>
      <c r="G129" s="914">
        <f t="shared" si="69"/>
        <v>0.30864770187113427</v>
      </c>
    </row>
    <row r="130" spans="1:20" x14ac:dyDescent="0.25">
      <c r="A130" s="55" t="s">
        <v>27</v>
      </c>
      <c r="B130" s="216">
        <f>+B83*(1+$B88)^$C$2*(1-B98)^$C$2</f>
        <v>0</v>
      </c>
      <c r="C130" s="216">
        <f t="shared" ref="C130:G130" si="70">+C83*(1+$B88)^$C$2*(1-C98)^$C$2</f>
        <v>0</v>
      </c>
      <c r="D130" s="216">
        <f t="shared" si="70"/>
        <v>0.77388991110081939</v>
      </c>
      <c r="E130" s="216">
        <f t="shared" si="70"/>
        <v>1.585498826272099</v>
      </c>
      <c r="F130" s="216">
        <f t="shared" si="70"/>
        <v>0</v>
      </c>
      <c r="G130" s="915">
        <f t="shared" si="70"/>
        <v>1.3713242514352331</v>
      </c>
    </row>
    <row r="131" spans="1:20" s="7" customFormat="1" x14ac:dyDescent="0.25">
      <c r="A131" s="27" t="s">
        <v>55</v>
      </c>
      <c r="B131" s="406">
        <f>+B132+B133</f>
        <v>0</v>
      </c>
      <c r="C131" s="406">
        <f t="shared" ref="C131" si="71">+C132+C133</f>
        <v>0</v>
      </c>
      <c r="D131" s="530">
        <f t="shared" ref="D131" si="72">+D132+D133</f>
        <v>1.4491009321602051</v>
      </c>
      <c r="E131" s="530">
        <f t="shared" ref="E131" si="73">+E132+E133</f>
        <v>1.6026481313553624</v>
      </c>
      <c r="F131" s="530">
        <f t="shared" ref="F131" si="74">+F132+F133</f>
        <v>0</v>
      </c>
      <c r="G131" s="537">
        <f t="shared" ref="G131" si="75">+G132+G133</f>
        <v>1.4210942912209261</v>
      </c>
    </row>
    <row r="132" spans="1:20" x14ac:dyDescent="0.25">
      <c r="A132" s="52" t="s">
        <v>108</v>
      </c>
      <c r="B132" s="222">
        <f>+B82*(1+$B87)^$C$2*(1-B100)^$C$2</f>
        <v>0</v>
      </c>
      <c r="C132" s="222">
        <f t="shared" ref="C132:G132" si="76">+C82*(1+$B87)^$C$2*(1-C100)^$C$2</f>
        <v>0</v>
      </c>
      <c r="D132" s="222">
        <f t="shared" si="76"/>
        <v>0.79308148956917623</v>
      </c>
      <c r="E132" s="222">
        <f t="shared" si="76"/>
        <v>0.25863518930752372</v>
      </c>
      <c r="F132" s="222">
        <f t="shared" si="76"/>
        <v>0</v>
      </c>
      <c r="G132" s="912">
        <f t="shared" si="76"/>
        <v>0.25863518930752366</v>
      </c>
    </row>
    <row r="133" spans="1:20" x14ac:dyDescent="0.25">
      <c r="A133" s="55" t="s">
        <v>27</v>
      </c>
      <c r="B133" s="217">
        <f>+B83*(1+$B88)^42*(1-B101)^42</f>
        <v>0</v>
      </c>
      <c r="C133" s="217">
        <f t="shared" ref="C133:G133" si="77">+C83*(1+$B88)^42*(1-C101)^42</f>
        <v>0</v>
      </c>
      <c r="D133" s="217">
        <f t="shared" si="77"/>
        <v>0.65601944259102873</v>
      </c>
      <c r="E133" s="217">
        <f t="shared" si="77"/>
        <v>1.3440129420478388</v>
      </c>
      <c r="F133" s="217">
        <f t="shared" si="77"/>
        <v>0</v>
      </c>
      <c r="G133" s="913">
        <f t="shared" si="77"/>
        <v>1.1624591019134025</v>
      </c>
    </row>
    <row r="134" spans="1:20" s="7" customFormat="1" x14ac:dyDescent="0.25">
      <c r="A134" s="27" t="s">
        <v>119</v>
      </c>
      <c r="B134" s="406">
        <f>+B135+B136</f>
        <v>0</v>
      </c>
      <c r="C134" s="406">
        <f t="shared" ref="C134" si="78">+C135+C136</f>
        <v>0</v>
      </c>
      <c r="D134" s="530">
        <f t="shared" ref="D134" si="79">+D135+D136</f>
        <v>1.2807334349033899</v>
      </c>
      <c r="E134" s="530">
        <f t="shared" ref="E134" si="80">+E135+E136</f>
        <v>1.4101343467105076</v>
      </c>
      <c r="F134" s="530">
        <f t="shared" ref="F134" si="81">+F135+F136</f>
        <v>0</v>
      </c>
      <c r="G134" s="537">
        <f t="shared" ref="G134" si="82">+G135+G136</f>
        <v>1.2506879049055859</v>
      </c>
    </row>
    <row r="135" spans="1:20" x14ac:dyDescent="0.25">
      <c r="A135" s="52" t="s">
        <v>108</v>
      </c>
      <c r="B135" s="222">
        <f>+B82*(1+$B87)^$C$2*(1-B103)^$C$2</f>
        <v>0</v>
      </c>
      <c r="C135" s="222">
        <f t="shared" ref="C135:G135" si="83">+C82*(1+$B87)^$C$2*(1-C103)^$C$2</f>
        <v>0</v>
      </c>
      <c r="D135" s="222">
        <f t="shared" si="83"/>
        <v>0.70459598830058667</v>
      </c>
      <c r="E135" s="222">
        <f t="shared" si="83"/>
        <v>0.22977880484694979</v>
      </c>
      <c r="F135" s="222">
        <f t="shared" si="83"/>
        <v>0</v>
      </c>
      <c r="G135" s="912">
        <f t="shared" si="83"/>
        <v>0.22977880484694976</v>
      </c>
    </row>
    <row r="136" spans="1:20" ht="15.75" thickBot="1" x14ac:dyDescent="0.3">
      <c r="A136" s="38" t="s">
        <v>27</v>
      </c>
      <c r="B136" s="916">
        <f>+B83*(1+$B88)^$C$2*(1-B104)^$C$2</f>
        <v>0</v>
      </c>
      <c r="C136" s="916">
        <f t="shared" ref="C136:G136" si="84">+C83*(1+$B88)^$C$2*(1-C104)^$C$2</f>
        <v>0</v>
      </c>
      <c r="D136" s="916">
        <f t="shared" si="84"/>
        <v>0.57613744660280308</v>
      </c>
      <c r="E136" s="916">
        <f t="shared" si="84"/>
        <v>1.1803555418635578</v>
      </c>
      <c r="F136" s="916">
        <f t="shared" si="84"/>
        <v>0</v>
      </c>
      <c r="G136" s="917">
        <f t="shared" si="84"/>
        <v>1.0209091000586361</v>
      </c>
    </row>
    <row r="137" spans="1:20" ht="15.75" thickBot="1" x14ac:dyDescent="0.3"/>
    <row r="138" spans="1:20" ht="18.75" x14ac:dyDescent="0.3">
      <c r="A138" s="430" t="s">
        <v>292</v>
      </c>
      <c r="B138" s="228" t="s">
        <v>2</v>
      </c>
      <c r="C138" s="229" t="s">
        <v>139</v>
      </c>
      <c r="D138" s="229" t="s">
        <v>3</v>
      </c>
      <c r="E138" s="229" t="s">
        <v>140</v>
      </c>
      <c r="F138" s="229" t="s">
        <v>141</v>
      </c>
      <c r="G138" s="229" t="s">
        <v>4</v>
      </c>
      <c r="H138" s="229" t="s">
        <v>5</v>
      </c>
      <c r="I138" s="229" t="s">
        <v>6</v>
      </c>
      <c r="J138" s="1087" t="s">
        <v>7</v>
      </c>
      <c r="K138" s="1088"/>
      <c r="L138" s="1088"/>
      <c r="M138" s="1088"/>
      <c r="N138" s="1088"/>
      <c r="O138" s="1088"/>
      <c r="P138" s="228" t="s">
        <v>8</v>
      </c>
      <c r="Q138" s="229" t="s">
        <v>9</v>
      </c>
      <c r="R138" s="229" t="s">
        <v>10</v>
      </c>
      <c r="S138" s="230"/>
      <c r="T138" s="285" t="s">
        <v>34</v>
      </c>
    </row>
    <row r="139" spans="1:20" x14ac:dyDescent="0.25">
      <c r="A139" s="231"/>
      <c r="B139" s="232"/>
      <c r="C139" s="233"/>
      <c r="D139" s="233" t="s">
        <v>128</v>
      </c>
      <c r="E139" s="233"/>
      <c r="F139" s="233" t="s">
        <v>142</v>
      </c>
      <c r="G139" s="233"/>
      <c r="H139" s="233"/>
      <c r="I139" s="233"/>
      <c r="J139" s="234" t="s">
        <v>129</v>
      </c>
      <c r="K139" s="235" t="s">
        <v>130</v>
      </c>
      <c r="L139" s="235" t="s">
        <v>131</v>
      </c>
      <c r="M139" s="235" t="s">
        <v>132</v>
      </c>
      <c r="N139" s="235" t="s">
        <v>133</v>
      </c>
      <c r="O139" s="235" t="s">
        <v>134</v>
      </c>
      <c r="P139" s="232"/>
      <c r="Q139" s="233"/>
      <c r="R139" s="233"/>
      <c r="S139" s="236"/>
      <c r="T139" s="286"/>
    </row>
    <row r="140" spans="1:20" x14ac:dyDescent="0.25">
      <c r="A140" s="237" t="s">
        <v>1</v>
      </c>
      <c r="B140" s="238" t="s">
        <v>11</v>
      </c>
      <c r="C140" s="239"/>
      <c r="D140" s="239" t="s">
        <v>12</v>
      </c>
      <c r="E140" s="239"/>
      <c r="F140" s="239"/>
      <c r="G140" s="239" t="s">
        <v>13</v>
      </c>
      <c r="H140" s="239" t="s">
        <v>14</v>
      </c>
      <c r="I140" s="239" t="s">
        <v>15</v>
      </c>
      <c r="J140" s="240" t="s">
        <v>16</v>
      </c>
      <c r="K140" s="241" t="s">
        <v>17</v>
      </c>
      <c r="L140" s="241"/>
      <c r="M140" s="241" t="s">
        <v>18</v>
      </c>
      <c r="N140" s="241"/>
      <c r="O140" s="241"/>
      <c r="P140" s="238" t="s">
        <v>19</v>
      </c>
      <c r="Q140" s="239" t="s">
        <v>20</v>
      </c>
      <c r="R140" s="239" t="s">
        <v>21</v>
      </c>
      <c r="S140" s="242"/>
      <c r="T140" s="287"/>
    </row>
    <row r="141" spans="1:20" x14ac:dyDescent="0.25">
      <c r="A141" s="407" t="s">
        <v>177</v>
      </c>
      <c r="B141" s="18"/>
      <c r="C141" s="41">
        <f>+J76</f>
        <v>0.14109727746846562</v>
      </c>
      <c r="D141" s="18"/>
      <c r="E141" s="18"/>
      <c r="F141" s="18"/>
      <c r="G141" s="18"/>
      <c r="H141" s="18"/>
      <c r="I141" s="18"/>
      <c r="J141" s="408">
        <f>+B109</f>
        <v>0</v>
      </c>
      <c r="K141" s="408">
        <f t="shared" ref="K141:O141" si="85">+C109</f>
        <v>0</v>
      </c>
      <c r="L141" s="408">
        <f t="shared" si="85"/>
        <v>1.715579837131034</v>
      </c>
      <c r="M141" s="408">
        <f t="shared" si="85"/>
        <v>1.8854100727073904</v>
      </c>
      <c r="N141" s="408">
        <f t="shared" si="85"/>
        <v>0</v>
      </c>
      <c r="O141" s="408">
        <f t="shared" si="85"/>
        <v>1.6723901792079556</v>
      </c>
      <c r="P141" s="41">
        <f>+Q24</f>
        <v>11.736038779414109</v>
      </c>
      <c r="Q141" s="41">
        <f>+R24</f>
        <v>33.589107971123248</v>
      </c>
      <c r="R141" s="41">
        <f>+K42</f>
        <v>43.583440733516269</v>
      </c>
      <c r="S141" s="18"/>
      <c r="T141" s="28">
        <f>+SUM(B141:R141)</f>
        <v>94.323064850568471</v>
      </c>
    </row>
    <row r="142" spans="1:20" x14ac:dyDescent="0.25">
      <c r="A142" s="100" t="s">
        <v>69</v>
      </c>
      <c r="B142" s="18"/>
      <c r="C142" s="41">
        <f>+K76</f>
        <v>0.1394138102468975</v>
      </c>
      <c r="D142" s="18"/>
      <c r="E142" s="18"/>
      <c r="F142" s="18"/>
      <c r="G142" s="18"/>
      <c r="H142" s="18"/>
      <c r="I142" s="18"/>
      <c r="J142" s="408">
        <f>+B112</f>
        <v>0</v>
      </c>
      <c r="K142" s="408">
        <f t="shared" ref="K142:O142" si="86">+C112</f>
        <v>0</v>
      </c>
      <c r="L142" s="408">
        <f t="shared" si="86"/>
        <v>1.5211248851374937</v>
      </c>
      <c r="M142" s="408">
        <f t="shared" si="86"/>
        <v>1.6717054597005341</v>
      </c>
      <c r="N142" s="408">
        <f t="shared" si="86"/>
        <v>0</v>
      </c>
      <c r="O142" s="408">
        <f t="shared" si="86"/>
        <v>1.4828306233226456</v>
      </c>
      <c r="P142" s="41">
        <f t="shared" ref="P142:Q142" si="87">+Q25</f>
        <v>10.397865958770282</v>
      </c>
      <c r="Q142" s="41">
        <f t="shared" si="87"/>
        <v>29.780462250829288</v>
      </c>
      <c r="R142" s="41">
        <f>+L42</f>
        <v>36.993713045413834</v>
      </c>
      <c r="S142" s="18"/>
      <c r="T142" s="28">
        <f t="shared" ref="T142:T144" si="88">+SUM(B142:R142)</f>
        <v>81.987116033420975</v>
      </c>
    </row>
    <row r="143" spans="1:20" x14ac:dyDescent="0.25">
      <c r="A143" s="100" t="s">
        <v>70</v>
      </c>
      <c r="B143" s="18"/>
      <c r="C143" s="41">
        <f>+L76</f>
        <v>0.1394138102468975</v>
      </c>
      <c r="D143" s="18"/>
      <c r="E143" s="18"/>
      <c r="F143" s="18"/>
      <c r="G143" s="18"/>
      <c r="H143" s="18"/>
      <c r="I143" s="18"/>
      <c r="J143" s="408">
        <f>+B115</f>
        <v>0</v>
      </c>
      <c r="K143" s="408">
        <f t="shared" ref="K143:O143" si="89">+C115</f>
        <v>0</v>
      </c>
      <c r="L143" s="408">
        <f t="shared" si="89"/>
        <v>1.3643269262226976</v>
      </c>
      <c r="M143" s="408">
        <f t="shared" si="89"/>
        <v>1.4993856149929303</v>
      </c>
      <c r="N143" s="408">
        <f t="shared" si="89"/>
        <v>0</v>
      </c>
      <c r="O143" s="408">
        <f t="shared" si="89"/>
        <v>1.3299800471305867</v>
      </c>
      <c r="P143" s="41">
        <f t="shared" ref="P143:Q143" si="90">+Q26</f>
        <v>9.8181791297326164</v>
      </c>
      <c r="Q143" s="41">
        <f t="shared" si="90"/>
        <v>28.130584352799008</v>
      </c>
      <c r="R143" s="41">
        <f>+M42</f>
        <v>35.166941470401866</v>
      </c>
      <c r="S143" s="18"/>
      <c r="T143" s="28">
        <f t="shared" si="88"/>
        <v>77.448811351526601</v>
      </c>
    </row>
    <row r="144" spans="1:20" ht="15.75" thickBot="1" x14ac:dyDescent="0.3">
      <c r="A144" s="101" t="s">
        <v>71</v>
      </c>
      <c r="B144" s="34"/>
      <c r="C144" s="46">
        <f>+M76</f>
        <v>0.1394138102468975</v>
      </c>
      <c r="D144" s="34"/>
      <c r="E144" s="34"/>
      <c r="F144" s="34"/>
      <c r="G144" s="34"/>
      <c r="H144" s="34"/>
      <c r="I144" s="34"/>
      <c r="J144" s="409">
        <f>+B118</f>
        <v>0</v>
      </c>
      <c r="K144" s="409">
        <f t="shared" ref="K144:O144" si="91">+C118</f>
        <v>0</v>
      </c>
      <c r="L144" s="409">
        <f t="shared" si="91"/>
        <v>1.2685320273736993</v>
      </c>
      <c r="M144" s="409">
        <f t="shared" si="91"/>
        <v>1.3941077006138913</v>
      </c>
      <c r="N144" s="409">
        <f t="shared" si="91"/>
        <v>0</v>
      </c>
      <c r="O144" s="409">
        <f t="shared" si="91"/>
        <v>1.2365967812598491</v>
      </c>
      <c r="P144" s="41">
        <f t="shared" ref="P144:Q144" si="92">+Q27</f>
        <v>9.2113981323972105</v>
      </c>
      <c r="Q144" s="41">
        <f t="shared" si="92"/>
        <v>26.403592283459762</v>
      </c>
      <c r="R144" s="46">
        <f>+N42</f>
        <v>31.792645826723607</v>
      </c>
      <c r="S144" s="34"/>
      <c r="T144" s="28">
        <f t="shared" si="88"/>
        <v>71.446286562074917</v>
      </c>
    </row>
    <row r="145" spans="1:20" ht="15.75" thickBot="1" x14ac:dyDescent="0.3"/>
    <row r="146" spans="1:20" ht="18.75" x14ac:dyDescent="0.3">
      <c r="A146" s="430" t="s">
        <v>293</v>
      </c>
      <c r="B146" s="228" t="s">
        <v>2</v>
      </c>
      <c r="C146" s="229" t="s">
        <v>139</v>
      </c>
      <c r="D146" s="229" t="s">
        <v>3</v>
      </c>
      <c r="E146" s="229" t="s">
        <v>140</v>
      </c>
      <c r="F146" s="229" t="s">
        <v>141</v>
      </c>
      <c r="G146" s="229" t="s">
        <v>4</v>
      </c>
      <c r="H146" s="229" t="s">
        <v>5</v>
      </c>
      <c r="I146" s="229" t="s">
        <v>6</v>
      </c>
      <c r="J146" s="1087" t="s">
        <v>7</v>
      </c>
      <c r="K146" s="1088"/>
      <c r="L146" s="1088"/>
      <c r="M146" s="1088"/>
      <c r="N146" s="1088"/>
      <c r="O146" s="1088"/>
      <c r="P146" s="228" t="s">
        <v>8</v>
      </c>
      <c r="Q146" s="229" t="s">
        <v>9</v>
      </c>
      <c r="R146" s="229" t="s">
        <v>10</v>
      </c>
      <c r="S146" s="230"/>
      <c r="T146" s="285" t="s">
        <v>34</v>
      </c>
    </row>
    <row r="147" spans="1:20" x14ac:dyDescent="0.25">
      <c r="A147" s="231"/>
      <c r="B147" s="232"/>
      <c r="C147" s="233"/>
      <c r="D147" s="233" t="s">
        <v>128</v>
      </c>
      <c r="E147" s="233"/>
      <c r="F147" s="233" t="s">
        <v>142</v>
      </c>
      <c r="G147" s="233"/>
      <c r="H147" s="233"/>
      <c r="I147" s="233"/>
      <c r="J147" s="234" t="s">
        <v>129</v>
      </c>
      <c r="K147" s="235" t="s">
        <v>130</v>
      </c>
      <c r="L147" s="235" t="s">
        <v>131</v>
      </c>
      <c r="M147" s="235" t="s">
        <v>132</v>
      </c>
      <c r="N147" s="235" t="s">
        <v>133</v>
      </c>
      <c r="O147" s="235" t="s">
        <v>134</v>
      </c>
      <c r="P147" s="232"/>
      <c r="Q147" s="233"/>
      <c r="R147" s="233"/>
      <c r="S147" s="236"/>
      <c r="T147" s="286"/>
    </row>
    <row r="148" spans="1:20" x14ac:dyDescent="0.25">
      <c r="A148" s="237" t="s">
        <v>1</v>
      </c>
      <c r="B148" s="238" t="s">
        <v>11</v>
      </c>
      <c r="C148" s="239"/>
      <c r="D148" s="239" t="s">
        <v>12</v>
      </c>
      <c r="E148" s="239"/>
      <c r="F148" s="239"/>
      <c r="G148" s="239" t="s">
        <v>13</v>
      </c>
      <c r="H148" s="239" t="s">
        <v>14</v>
      </c>
      <c r="I148" s="239" t="s">
        <v>15</v>
      </c>
      <c r="J148" s="240" t="s">
        <v>16</v>
      </c>
      <c r="K148" s="241" t="s">
        <v>17</v>
      </c>
      <c r="L148" s="241"/>
      <c r="M148" s="241" t="s">
        <v>18</v>
      </c>
      <c r="N148" s="241"/>
      <c r="O148" s="241"/>
      <c r="P148" s="238" t="s">
        <v>19</v>
      </c>
      <c r="Q148" s="239" t="s">
        <v>20</v>
      </c>
      <c r="R148" s="239" t="s">
        <v>21</v>
      </c>
      <c r="S148" s="242"/>
      <c r="T148" s="287"/>
    </row>
    <row r="149" spans="1:20" x14ac:dyDescent="0.25">
      <c r="A149" s="407" t="s">
        <v>177</v>
      </c>
      <c r="B149" s="18"/>
      <c r="C149" s="41">
        <f>+N76</f>
        <v>0.17640434080870443</v>
      </c>
      <c r="D149" s="18"/>
      <c r="E149" s="18"/>
      <c r="F149" s="18"/>
      <c r="G149" s="18"/>
      <c r="H149" s="18"/>
      <c r="I149" s="18"/>
      <c r="J149" s="408">
        <f>+B125</f>
        <v>0</v>
      </c>
      <c r="K149" s="408">
        <f t="shared" ref="K149:O149" si="93">+C125</f>
        <v>0</v>
      </c>
      <c r="L149" s="408">
        <f t="shared" si="93"/>
        <v>2.0917591613082323</v>
      </c>
      <c r="M149" s="408">
        <f t="shared" si="93"/>
        <v>2.3031033297179491</v>
      </c>
      <c r="N149" s="408">
        <f t="shared" si="93"/>
        <v>0</v>
      </c>
      <c r="O149" s="408">
        <f t="shared" si="93"/>
        <v>2.042687269440266</v>
      </c>
      <c r="P149" s="41">
        <f>+Q28</f>
        <v>10.404256215100787</v>
      </c>
      <c r="Q149" s="41">
        <f>+R28</f>
        <v>35.032365833986596</v>
      </c>
      <c r="R149" s="41">
        <f>+S42</f>
        <v>51.143374765494883</v>
      </c>
      <c r="S149" s="18"/>
      <c r="T149" s="28">
        <f>+SUM(B149:R149)</f>
        <v>103.19395091585741</v>
      </c>
    </row>
    <row r="150" spans="1:20" x14ac:dyDescent="0.25">
      <c r="A150" s="100" t="s">
        <v>69</v>
      </c>
      <c r="B150" s="18"/>
      <c r="C150" s="41">
        <f>+O76</f>
        <v>0.17299693445083575</v>
      </c>
      <c r="D150" s="18"/>
      <c r="E150" s="18"/>
      <c r="F150" s="18"/>
      <c r="G150" s="18"/>
      <c r="H150" s="18"/>
      <c r="I150" s="18"/>
      <c r="J150" s="408">
        <f>+B128</f>
        <v>0</v>
      </c>
      <c r="K150" s="408">
        <f t="shared" ref="K150:O150" si="94">+C128</f>
        <v>0</v>
      </c>
      <c r="L150" s="408">
        <f t="shared" si="94"/>
        <v>1.7203302613387346</v>
      </c>
      <c r="M150" s="408">
        <f t="shared" si="94"/>
        <v>1.8941465281432333</v>
      </c>
      <c r="N150" s="408">
        <f t="shared" si="94"/>
        <v>0</v>
      </c>
      <c r="O150" s="408">
        <f t="shared" si="94"/>
        <v>1.6799719533063673</v>
      </c>
      <c r="P150" s="41">
        <f t="shared" ref="P150:Q150" si="95">+Q29</f>
        <v>8.5509306144157975</v>
      </c>
      <c r="Q150" s="41">
        <f t="shared" si="95"/>
        <v>28.652242704549337</v>
      </c>
      <c r="R150" s="41">
        <f>+T42</f>
        <v>38.018492642147578</v>
      </c>
      <c r="S150" s="18"/>
      <c r="T150" s="28">
        <f t="shared" ref="T150:T152" si="96">+SUM(B150:R150)</f>
        <v>80.689111638351875</v>
      </c>
    </row>
    <row r="151" spans="1:20" x14ac:dyDescent="0.25">
      <c r="A151" s="100" t="s">
        <v>70</v>
      </c>
      <c r="B151" s="18"/>
      <c r="C151" s="41">
        <f>+P76</f>
        <v>0.17299693445083575</v>
      </c>
      <c r="D151" s="18"/>
      <c r="E151" s="18"/>
      <c r="F151" s="18"/>
      <c r="G151" s="18"/>
      <c r="H151" s="18"/>
      <c r="I151" s="18"/>
      <c r="J151" s="408">
        <f>+B131</f>
        <v>0</v>
      </c>
      <c r="K151" s="408">
        <f t="shared" ref="K151:O151" si="97">+C131</f>
        <v>0</v>
      </c>
      <c r="L151" s="408">
        <f t="shared" si="97"/>
        <v>1.4491009321602051</v>
      </c>
      <c r="M151" s="408">
        <f t="shared" si="97"/>
        <v>1.6026481313553624</v>
      </c>
      <c r="N151" s="408">
        <f t="shared" si="97"/>
        <v>0</v>
      </c>
      <c r="O151" s="408">
        <f t="shared" si="97"/>
        <v>1.4210942912209261</v>
      </c>
      <c r="P151" s="41">
        <f t="shared" ref="P151:Q151" si="98">+Q30</f>
        <v>7.705658835527629</v>
      </c>
      <c r="Q151" s="41">
        <f t="shared" si="98"/>
        <v>25.742371915977827</v>
      </c>
      <c r="R151" s="41">
        <f>+U42</f>
        <v>34.172985035436739</v>
      </c>
      <c r="S151" s="18"/>
      <c r="T151" s="28">
        <f t="shared" si="96"/>
        <v>72.266856076129528</v>
      </c>
    </row>
    <row r="152" spans="1:20" ht="15.75" thickBot="1" x14ac:dyDescent="0.3">
      <c r="A152" s="101" t="s">
        <v>71</v>
      </c>
      <c r="B152" s="34"/>
      <c r="C152" s="46">
        <f>+Q76</f>
        <v>0.17299693445083575</v>
      </c>
      <c r="D152" s="34"/>
      <c r="E152" s="34"/>
      <c r="F152" s="34"/>
      <c r="G152" s="34"/>
      <c r="H152" s="34"/>
      <c r="I152" s="34"/>
      <c r="J152" s="409">
        <f>+B134</f>
        <v>0</v>
      </c>
      <c r="K152" s="409">
        <f t="shared" ref="K152:O152" si="99">+C134</f>
        <v>0</v>
      </c>
      <c r="L152" s="409">
        <f t="shared" si="99"/>
        <v>1.2807334349033899</v>
      </c>
      <c r="M152" s="409">
        <f t="shared" si="99"/>
        <v>1.4101343467105076</v>
      </c>
      <c r="N152" s="409">
        <f t="shared" si="99"/>
        <v>0</v>
      </c>
      <c r="O152" s="409">
        <f t="shared" si="99"/>
        <v>1.2506879049055859</v>
      </c>
      <c r="P152" s="41">
        <f t="shared" ref="P152:Q152" si="100">+Q31</f>
        <v>6.7941247279789181</v>
      </c>
      <c r="Q152" s="41">
        <f t="shared" si="100"/>
        <v>22.604391282303418</v>
      </c>
      <c r="R152" s="46">
        <f>+V42</f>
        <v>26.842212493301489</v>
      </c>
      <c r="S152" s="34"/>
      <c r="T152" s="28">
        <f t="shared" si="96"/>
        <v>60.355281124554139</v>
      </c>
    </row>
  </sheetData>
  <mergeCells count="17">
    <mergeCell ref="J146:O146"/>
    <mergeCell ref="J138:O138"/>
    <mergeCell ref="B71:C71"/>
    <mergeCell ref="B38:C38"/>
    <mergeCell ref="B39:C39"/>
    <mergeCell ref="B79:G79"/>
    <mergeCell ref="B90:G90"/>
    <mergeCell ref="B122:G122"/>
    <mergeCell ref="B70:C70"/>
    <mergeCell ref="F70:I70"/>
    <mergeCell ref="D70:E70"/>
    <mergeCell ref="D71:E71"/>
    <mergeCell ref="D72:E72"/>
    <mergeCell ref="D38:E38"/>
    <mergeCell ref="D39:E39"/>
    <mergeCell ref="D40:E40"/>
    <mergeCell ref="B106:G10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96"/>
  <sheetViews>
    <sheetView zoomScale="90" zoomScaleNormal="90" workbookViewId="0">
      <pane xSplit="1" ySplit="8" topLeftCell="B60" activePane="bottomRight" state="frozen"/>
      <selection pane="topRight" activeCell="B1" sqref="B1"/>
      <selection pane="bottomLeft" activeCell="A8" sqref="A8"/>
      <selection pane="bottomRight" activeCell="E88" sqref="E88"/>
    </sheetView>
  </sheetViews>
  <sheetFormatPr defaultRowHeight="15" x14ac:dyDescent="0.25"/>
  <cols>
    <col min="1" max="1" width="27.28515625" customWidth="1"/>
    <col min="2" max="2" width="11" customWidth="1"/>
    <col min="3" max="12" width="9.28515625" bestFit="1" customWidth="1"/>
    <col min="13" max="13" width="9" customWidth="1"/>
    <col min="14" max="14" width="9.5703125" bestFit="1" customWidth="1"/>
    <col min="16" max="16" width="2.5703125" customWidth="1"/>
    <col min="17" max="17" width="8.28515625" customWidth="1"/>
  </cols>
  <sheetData>
    <row r="1" spans="1:17" ht="18.75" x14ac:dyDescent="0.3">
      <c r="A1" s="6" t="s">
        <v>89</v>
      </c>
      <c r="B1">
        <f>+'Øvr forudsæt'!C63</f>
        <v>2035</v>
      </c>
      <c r="C1">
        <f>+'Øvr forudsæt'!D63</f>
        <v>2050</v>
      </c>
    </row>
    <row r="2" spans="1:17" ht="18.75" x14ac:dyDescent="0.3">
      <c r="A2" s="6"/>
      <c r="B2">
        <f>+'Øvr forudsæt'!C65</f>
        <v>24</v>
      </c>
      <c r="C2">
        <f>+'Øvr forudsæt'!D65</f>
        <v>39</v>
      </c>
    </row>
    <row r="3" spans="1:17" x14ac:dyDescent="0.25">
      <c r="A3" t="s">
        <v>261</v>
      </c>
    </row>
    <row r="4" spans="1:17" x14ac:dyDescent="0.25">
      <c r="A4" t="s">
        <v>175</v>
      </c>
    </row>
    <row r="6" spans="1:17" x14ac:dyDescent="0.25">
      <c r="A6" s="1" t="s">
        <v>239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1090" t="s">
        <v>7</v>
      </c>
      <c r="H6" s="1091"/>
      <c r="I6" s="1091"/>
      <c r="J6" s="1091"/>
      <c r="K6" s="1091"/>
      <c r="L6" s="1096"/>
      <c r="M6" s="2" t="s">
        <v>8</v>
      </c>
      <c r="N6" s="2" t="s">
        <v>9</v>
      </c>
      <c r="O6" s="2" t="s">
        <v>10</v>
      </c>
      <c r="Q6" s="2" t="s">
        <v>34</v>
      </c>
    </row>
    <row r="7" spans="1:17" x14ac:dyDescent="0.25">
      <c r="A7" s="1"/>
      <c r="B7" s="2"/>
      <c r="C7" s="2" t="s">
        <v>128</v>
      </c>
      <c r="D7" s="2"/>
      <c r="E7" s="2"/>
      <c r="F7" s="2"/>
      <c r="G7" s="148" t="s">
        <v>129</v>
      </c>
      <c r="H7" s="149" t="s">
        <v>130</v>
      </c>
      <c r="I7" s="149" t="s">
        <v>131</v>
      </c>
      <c r="J7" s="149" t="s">
        <v>132</v>
      </c>
      <c r="K7" s="149" t="s">
        <v>133</v>
      </c>
      <c r="L7" s="150" t="s">
        <v>134</v>
      </c>
      <c r="M7" s="2"/>
      <c r="N7" s="2"/>
      <c r="O7" s="2"/>
      <c r="Q7" s="2"/>
    </row>
    <row r="8" spans="1:17" x14ac:dyDescent="0.25">
      <c r="A8" s="3" t="s">
        <v>1</v>
      </c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151" t="s">
        <v>16</v>
      </c>
      <c r="H8" s="152" t="s">
        <v>17</v>
      </c>
      <c r="I8" s="152"/>
      <c r="J8" s="152" t="s">
        <v>18</v>
      </c>
      <c r="K8" s="152"/>
      <c r="L8" s="153"/>
      <c r="M8" s="4" t="s">
        <v>19</v>
      </c>
      <c r="N8" s="4" t="s">
        <v>20</v>
      </c>
      <c r="O8" s="4" t="s">
        <v>21</v>
      </c>
      <c r="P8" s="5"/>
      <c r="Q8" s="3"/>
    </row>
    <row r="9" spans="1:17" x14ac:dyDescent="0.25">
      <c r="A9" s="31" t="s">
        <v>47</v>
      </c>
      <c r="B9" s="41">
        <f>+'2011'!B13+'2011'!B14+'2011'!B15</f>
        <v>0</v>
      </c>
      <c r="C9" s="41">
        <f>+'2011'!D13+'2011'!D14+'2011'!D15</f>
        <v>2.9889707871574278</v>
      </c>
      <c r="D9" s="41">
        <f>+'2011'!G13+'2011'!G14+'2011'!G15</f>
        <v>0</v>
      </c>
      <c r="E9" s="41">
        <f>+'2011'!H13+'2011'!H14+'2011'!H15</f>
        <v>0</v>
      </c>
      <c r="F9" s="41">
        <f>+'2011'!I13+'2011'!I14+'2011'!I15</f>
        <v>1.9600441343893082</v>
      </c>
      <c r="G9" s="41">
        <f>+'2011'!J13+'2011'!J14+'2011'!J15</f>
        <v>0.91584863100947755</v>
      </c>
      <c r="H9" s="41">
        <f>+'2011'!K13+'2011'!K14+'2011'!K15</f>
        <v>5.3225638411943645</v>
      </c>
      <c r="I9" s="41">
        <f>+'2011'!L13+'2011'!L14+'2011'!L15</f>
        <v>1.1058879298415896</v>
      </c>
      <c r="J9" s="41">
        <f>+'2011'!M13+'2011'!M14+'2011'!M15</f>
        <v>0</v>
      </c>
      <c r="K9" s="41">
        <f>+'2011'!N13+'2011'!N14+'2011'!N15</f>
        <v>0</v>
      </c>
      <c r="L9" s="41">
        <f>+'2011'!O13+'2011'!O14+'2011'!O15</f>
        <v>0</v>
      </c>
      <c r="M9" s="41">
        <f>+'2011'!P13+'2011'!P14+'2011'!P15</f>
        <v>0.18352550396524941</v>
      </c>
      <c r="N9" s="41">
        <f>+'2011'!Q13+'2011'!Q14+'2011'!Q15</f>
        <v>0</v>
      </c>
      <c r="O9" s="41">
        <f>+'2011'!R13+'2011'!R14+'2011'!R15</f>
        <v>5.1627323565941223</v>
      </c>
      <c r="P9" s="41"/>
      <c r="Q9" s="41">
        <f>+'2011'!T13+'2011'!T14+'2011'!T15</f>
        <v>17.639573184151537</v>
      </c>
    </row>
    <row r="10" spans="1:17" x14ac:dyDescent="0.25">
      <c r="A10" s="31" t="s">
        <v>48</v>
      </c>
      <c r="B10" s="41">
        <f>+'2011'!B16</f>
        <v>0</v>
      </c>
      <c r="C10" s="41">
        <f>+'2011'!D16</f>
        <v>0.10375831446472253</v>
      </c>
      <c r="D10" s="41">
        <f>+'2011'!G16</f>
        <v>0</v>
      </c>
      <c r="E10" s="41">
        <f>+'2011'!H16</f>
        <v>0</v>
      </c>
      <c r="F10" s="41">
        <f>+'2011'!I16</f>
        <v>0</v>
      </c>
      <c r="G10" s="41">
        <f>+'2011'!J16</f>
        <v>0.85146237344390796</v>
      </c>
      <c r="H10" s="41">
        <f>+'2011'!K16</f>
        <v>1.2548442940866229</v>
      </c>
      <c r="I10" s="41">
        <f>+'2011'!L16</f>
        <v>5.9356455500086387</v>
      </c>
      <c r="J10" s="41">
        <f>+'2011'!M16</f>
        <v>13.547206904865831</v>
      </c>
      <c r="K10" s="41">
        <f>+'2011'!N16</f>
        <v>4.2051320857316972</v>
      </c>
      <c r="L10" s="41">
        <f>+'2011'!O16</f>
        <v>19.682428308826871</v>
      </c>
      <c r="M10" s="41">
        <f>+'2011'!P16</f>
        <v>9.6586551782329035</v>
      </c>
      <c r="N10" s="41">
        <f>+'2011'!Q16</f>
        <v>4.8583402569272733</v>
      </c>
      <c r="O10" s="41">
        <f>+'2011'!R16</f>
        <v>27.863294250302356</v>
      </c>
      <c r="P10" s="41"/>
      <c r="Q10" s="41">
        <f>+'2011'!T16</f>
        <v>87.960767516890826</v>
      </c>
    </row>
    <row r="11" spans="1:17" ht="15.75" thickBot="1" x14ac:dyDescent="0.3">
      <c r="A11" s="134" t="s">
        <v>49</v>
      </c>
      <c r="B11" s="46">
        <f>+'2011'!B17</f>
        <v>0</v>
      </c>
      <c r="C11" s="46">
        <f>+'2011'!D17</f>
        <v>0.82433400000000001</v>
      </c>
      <c r="D11" s="46">
        <f>+'2011'!G17</f>
        <v>0</v>
      </c>
      <c r="E11" s="46">
        <f>+'2011'!H17</f>
        <v>0</v>
      </c>
      <c r="F11" s="46">
        <f>+'2011'!I17</f>
        <v>0</v>
      </c>
      <c r="G11" s="46">
        <f>+'2011'!J17</f>
        <v>0.72310000000000008</v>
      </c>
      <c r="H11" s="46">
        <f>+'2011'!K17</f>
        <v>0.72310000000000008</v>
      </c>
      <c r="I11" s="46">
        <f>+'2011'!L17</f>
        <v>0</v>
      </c>
      <c r="J11" s="46">
        <f>+'2011'!M17</f>
        <v>0</v>
      </c>
      <c r="K11" s="46">
        <f>+'2011'!N17</f>
        <v>0</v>
      </c>
      <c r="L11" s="46">
        <f>+'2011'!O17</f>
        <v>0</v>
      </c>
      <c r="M11" s="46">
        <f>+'2011'!P17</f>
        <v>0</v>
      </c>
      <c r="N11" s="46">
        <f>+'2011'!Q17</f>
        <v>0</v>
      </c>
      <c r="O11" s="46">
        <f>+'2011'!R17</f>
        <v>1.30158</v>
      </c>
      <c r="P11" s="46"/>
      <c r="Q11" s="46">
        <f>+'2011'!T17</f>
        <v>3.572114</v>
      </c>
    </row>
    <row r="12" spans="1:17" ht="15.75" thickBot="1" x14ac:dyDescent="0.3">
      <c r="Q12" s="293">
        <f>SUM(Q9:Q11)</f>
        <v>109.17245470104237</v>
      </c>
    </row>
    <row r="13" spans="1:17" x14ac:dyDescent="0.25">
      <c r="A13" s="246" t="s">
        <v>90</v>
      </c>
      <c r="B13" s="1069" t="s">
        <v>340</v>
      </c>
      <c r="C13" s="1071"/>
      <c r="E13" t="s">
        <v>173</v>
      </c>
      <c r="F13" t="s">
        <v>172</v>
      </c>
    </row>
    <row r="14" spans="1:17" x14ac:dyDescent="0.25">
      <c r="A14" s="247"/>
      <c r="B14" s="921" t="s">
        <v>315</v>
      </c>
      <c r="C14" s="922" t="s">
        <v>338</v>
      </c>
    </row>
    <row r="15" spans="1:17" x14ac:dyDescent="0.25">
      <c r="A15" s="248" t="s">
        <v>47</v>
      </c>
      <c r="B15" s="919">
        <f>+'E-tjen-oversigt'!E35</f>
        <v>1.3215161705098177E-2</v>
      </c>
      <c r="C15" s="249">
        <f>+'E-tjen-oversigt'!G35</f>
        <v>1.2940039750192645E-2</v>
      </c>
      <c r="E15">
        <f>+'E-tjen-oversigt'!D35</f>
        <v>0.8</v>
      </c>
      <c r="F15">
        <f>+'E-tjen-oversigt'!C35</f>
        <v>1</v>
      </c>
    </row>
    <row r="16" spans="1:17" x14ac:dyDescent="0.25">
      <c r="A16" s="248" t="s">
        <v>48</v>
      </c>
      <c r="B16" s="919">
        <f>+'E-tjen-oversigt'!E36</f>
        <v>1.1749059528412653E-2</v>
      </c>
      <c r="C16" s="249">
        <f>+'E-tjen-oversigt'!G36</f>
        <v>1.1814140514638805E-2</v>
      </c>
      <c r="E16">
        <f>+'E-tjen-oversigt'!D36</f>
        <v>0.7</v>
      </c>
      <c r="F16">
        <f>+'E-tjen-oversigt'!C36</f>
        <v>1</v>
      </c>
    </row>
    <row r="17" spans="1:15" ht="15.75" thickBot="1" x14ac:dyDescent="0.3">
      <c r="A17" s="250" t="s">
        <v>49</v>
      </c>
      <c r="B17" s="920">
        <f>+'E-tjen-oversigt'!E37</f>
        <v>1.7549216479401997E-2</v>
      </c>
      <c r="C17" s="251">
        <f>+'E-tjen-oversigt'!G37</f>
        <v>1.6688852369593388E-2</v>
      </c>
      <c r="E17">
        <f>+'E-tjen-oversigt'!D37</f>
        <v>0.6</v>
      </c>
      <c r="F17">
        <f>+'E-tjen-oversigt'!C37</f>
        <v>1</v>
      </c>
    </row>
    <row r="18" spans="1:15" ht="15.75" thickBot="1" x14ac:dyDescent="0.3">
      <c r="A18" s="655"/>
      <c r="B18" s="656"/>
      <c r="C18" s="918"/>
    </row>
    <row r="19" spans="1:15" ht="18.75" x14ac:dyDescent="0.3">
      <c r="A19" s="218" t="s">
        <v>294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</row>
    <row r="20" spans="1:15" x14ac:dyDescent="0.25">
      <c r="A20" s="131"/>
      <c r="B20" s="132" t="s">
        <v>2</v>
      </c>
      <c r="C20" s="132" t="s">
        <v>3</v>
      </c>
      <c r="D20" s="132" t="s">
        <v>4</v>
      </c>
      <c r="E20" s="132" t="s">
        <v>5</v>
      </c>
      <c r="F20" s="132" t="s">
        <v>6</v>
      </c>
      <c r="G20" s="1090" t="s">
        <v>7</v>
      </c>
      <c r="H20" s="1091"/>
      <c r="I20" s="1091"/>
      <c r="J20" s="1091"/>
      <c r="K20" s="1091"/>
      <c r="L20" s="1096"/>
      <c r="M20" s="132" t="s">
        <v>8</v>
      </c>
      <c r="N20" s="132" t="s">
        <v>9</v>
      </c>
      <c r="O20" s="133" t="s">
        <v>10</v>
      </c>
    </row>
    <row r="21" spans="1:15" x14ac:dyDescent="0.25">
      <c r="A21" s="131"/>
      <c r="B21" s="132"/>
      <c r="C21" s="132" t="s">
        <v>128</v>
      </c>
      <c r="D21" s="132"/>
      <c r="E21" s="132"/>
      <c r="F21" s="132"/>
      <c r="G21" s="148" t="s">
        <v>129</v>
      </c>
      <c r="H21" s="149" t="s">
        <v>130</v>
      </c>
      <c r="I21" s="149" t="s">
        <v>131</v>
      </c>
      <c r="J21" s="149" t="s">
        <v>132</v>
      </c>
      <c r="K21" s="149" t="s">
        <v>133</v>
      </c>
      <c r="L21" s="150" t="s">
        <v>134</v>
      </c>
      <c r="M21" s="132"/>
      <c r="N21" s="132"/>
      <c r="O21" s="133"/>
    </row>
    <row r="22" spans="1:15" x14ac:dyDescent="0.25">
      <c r="A22" s="124"/>
      <c r="B22" s="4" t="s">
        <v>11</v>
      </c>
      <c r="C22" s="4" t="s">
        <v>12</v>
      </c>
      <c r="D22" s="4" t="s">
        <v>13</v>
      </c>
      <c r="E22" s="4" t="s">
        <v>14</v>
      </c>
      <c r="F22" s="4" t="s">
        <v>15</v>
      </c>
      <c r="G22" s="151" t="s">
        <v>16</v>
      </c>
      <c r="H22" s="152" t="s">
        <v>17</v>
      </c>
      <c r="I22" s="152"/>
      <c r="J22" s="152" t="s">
        <v>18</v>
      </c>
      <c r="K22" s="152"/>
      <c r="L22" s="153"/>
      <c r="M22" s="155" t="s">
        <v>19</v>
      </c>
      <c r="N22" s="4" t="s">
        <v>20</v>
      </c>
      <c r="O22" s="4" t="s">
        <v>21</v>
      </c>
    </row>
    <row r="23" spans="1:15" x14ac:dyDescent="0.25">
      <c r="A23" s="339" t="s">
        <v>176</v>
      </c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0"/>
    </row>
    <row r="24" spans="1:15" x14ac:dyDescent="0.25">
      <c r="A24" s="31" t="s">
        <v>47</v>
      </c>
      <c r="B24" s="350">
        <v>0</v>
      </c>
      <c r="C24" s="350">
        <v>0</v>
      </c>
      <c r="D24" s="350">
        <v>0</v>
      </c>
      <c r="E24" s="350">
        <v>0</v>
      </c>
      <c r="F24" s="350">
        <v>0</v>
      </c>
      <c r="G24" s="350">
        <v>0</v>
      </c>
      <c r="H24" s="350">
        <v>0</v>
      </c>
      <c r="I24" s="350">
        <v>0</v>
      </c>
      <c r="J24" s="350">
        <v>0</v>
      </c>
      <c r="K24" s="350">
        <v>0</v>
      </c>
      <c r="L24" s="350">
        <v>0</v>
      </c>
      <c r="M24" s="350">
        <v>0</v>
      </c>
      <c r="N24" s="350">
        <v>0</v>
      </c>
      <c r="O24" s="350">
        <v>0</v>
      </c>
    </row>
    <row r="25" spans="1:15" x14ac:dyDescent="0.25">
      <c r="A25" s="31" t="s">
        <v>48</v>
      </c>
      <c r="B25" s="350">
        <v>0</v>
      </c>
      <c r="C25" s="350">
        <v>0</v>
      </c>
      <c r="D25" s="350">
        <v>0</v>
      </c>
      <c r="E25" s="350">
        <v>0</v>
      </c>
      <c r="F25" s="350">
        <v>0</v>
      </c>
      <c r="G25" s="350">
        <v>0</v>
      </c>
      <c r="H25" s="350">
        <v>0</v>
      </c>
      <c r="I25" s="350">
        <v>0</v>
      </c>
      <c r="J25" s="350">
        <v>0</v>
      </c>
      <c r="K25" s="350">
        <v>0</v>
      </c>
      <c r="L25" s="350">
        <v>0</v>
      </c>
      <c r="M25" s="350">
        <v>0</v>
      </c>
      <c r="N25" s="350">
        <v>0</v>
      </c>
      <c r="O25" s="350">
        <v>0</v>
      </c>
    </row>
    <row r="26" spans="1:15" x14ac:dyDescent="0.25">
      <c r="A26" s="29" t="s">
        <v>49</v>
      </c>
      <c r="B26" s="350">
        <v>0</v>
      </c>
      <c r="C26" s="350">
        <v>0</v>
      </c>
      <c r="D26" s="350">
        <v>0</v>
      </c>
      <c r="E26" s="350">
        <v>0</v>
      </c>
      <c r="F26" s="350">
        <v>0</v>
      </c>
      <c r="G26" s="350">
        <v>0</v>
      </c>
      <c r="H26" s="350">
        <v>0</v>
      </c>
      <c r="I26" s="350">
        <v>0</v>
      </c>
      <c r="J26" s="350">
        <v>0</v>
      </c>
      <c r="K26" s="350">
        <v>0</v>
      </c>
      <c r="L26" s="350">
        <v>0</v>
      </c>
      <c r="M26" s="350">
        <v>0</v>
      </c>
      <c r="N26" s="350">
        <v>0</v>
      </c>
      <c r="O26" s="350">
        <v>0</v>
      </c>
    </row>
    <row r="27" spans="1:15" x14ac:dyDescent="0.25">
      <c r="A27" s="339" t="s">
        <v>92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8"/>
    </row>
    <row r="28" spans="1:15" x14ac:dyDescent="0.25">
      <c r="A28" s="31" t="s">
        <v>47</v>
      </c>
      <c r="B28" s="119">
        <f>+Effektiviseringer!$G$29</f>
        <v>6.0172816665517992E-3</v>
      </c>
      <c r="C28" s="119">
        <f>+Effektiviseringer!$G$29</f>
        <v>6.0172816665517992E-3</v>
      </c>
      <c r="D28" s="119">
        <f>+Effektiviseringer!$G$29</f>
        <v>6.0172816665517992E-3</v>
      </c>
      <c r="E28" s="119">
        <f>+Effektiviseringer!$G$29</f>
        <v>6.0172816665517992E-3</v>
      </c>
      <c r="F28" s="119">
        <f>+Effektiviseringer!$G$29</f>
        <v>6.0172816665517992E-3</v>
      </c>
      <c r="G28" s="119">
        <f>+Effektiviseringer!$G$30</f>
        <v>4.9120363384786092E-2</v>
      </c>
      <c r="H28" s="119">
        <f>+Effektiviseringer!$G$30</f>
        <v>4.9120363384786092E-2</v>
      </c>
      <c r="I28" s="119">
        <f>+Effektiviseringer!$G$30</f>
        <v>4.9120363384786092E-2</v>
      </c>
      <c r="J28" s="119">
        <f>+Effektiviseringer!$G$30</f>
        <v>4.9120363384786092E-2</v>
      </c>
      <c r="K28" s="119">
        <f>+Effektiviseringer!$G$30</f>
        <v>4.9120363384786092E-2</v>
      </c>
      <c r="L28" s="119">
        <f>+Effektiviseringer!$G$30</f>
        <v>4.9120363384786092E-2</v>
      </c>
      <c r="M28" s="119">
        <f>+Effektiviseringer!$G$31</f>
        <v>0.11377787388666727</v>
      </c>
      <c r="N28" s="119">
        <f>+Effektiviseringer!$G$31</f>
        <v>0.11377787388666727</v>
      </c>
      <c r="O28" s="136">
        <f>+Effektiviseringer!G32</f>
        <v>0.10054830033712081</v>
      </c>
    </row>
    <row r="29" spans="1:15" x14ac:dyDescent="0.25">
      <c r="A29" s="31" t="s">
        <v>48</v>
      </c>
      <c r="B29" s="119">
        <f>+Effektiviseringer!$G$34</f>
        <v>1.2069253665454749E-2</v>
      </c>
      <c r="C29" s="119">
        <f>+Effektiviseringer!$G$34</f>
        <v>1.2069253665454749E-2</v>
      </c>
      <c r="D29" s="119">
        <f>+Effektiviseringer!$G$34</f>
        <v>1.2069253665454749E-2</v>
      </c>
      <c r="E29" s="119">
        <f>+Effektiviseringer!$G$34</f>
        <v>1.2069253665454749E-2</v>
      </c>
      <c r="F29" s="119">
        <f>+Effektiviseringer!$G$34</f>
        <v>1.2069253665454749E-2</v>
      </c>
      <c r="G29" s="119">
        <f>+Effektiviseringer!$G$35</f>
        <v>0.12715977620538776</v>
      </c>
      <c r="H29" s="119">
        <f>+Effektiviseringer!$G$35</f>
        <v>0.12715977620538776</v>
      </c>
      <c r="I29" s="119">
        <f>+Effektiviseringer!$G$35</f>
        <v>0.12715977620538776</v>
      </c>
      <c r="J29" s="119">
        <f>+Effektiviseringer!$G$35</f>
        <v>0.12715977620538776</v>
      </c>
      <c r="K29" s="119">
        <f>+Effektiviseringer!$G$35</f>
        <v>0.12715977620538776</v>
      </c>
      <c r="L29" s="119">
        <f>+Effektiviseringer!$G$35</f>
        <v>0.12715977620538776</v>
      </c>
      <c r="M29" s="119">
        <f>+Effektiviseringer!$G$36</f>
        <v>0.12715977620538776</v>
      </c>
      <c r="N29" s="119">
        <f>+Effektiviseringer!$G$36</f>
        <v>0.12715977620538776</v>
      </c>
      <c r="O29" s="136">
        <f>+Effektiviseringer!G37</f>
        <v>0.14069568414913514</v>
      </c>
    </row>
    <row r="30" spans="1:15" x14ac:dyDescent="0.25">
      <c r="A30" s="29" t="s">
        <v>49</v>
      </c>
      <c r="B30" s="109">
        <f>+Effektiviseringer!$G$39</f>
        <v>1.2069253665454749E-2</v>
      </c>
      <c r="C30" s="109">
        <f>+Effektiviseringer!$G$39</f>
        <v>1.2069253665454749E-2</v>
      </c>
      <c r="D30" s="109">
        <f>+Effektiviseringer!$G$39</f>
        <v>1.2069253665454749E-2</v>
      </c>
      <c r="E30" s="109">
        <f>+Effektiviseringer!$G$39</f>
        <v>1.2069253665454749E-2</v>
      </c>
      <c r="F30" s="109">
        <f>+Effektiviseringer!$G$39</f>
        <v>1.2069253665454749E-2</v>
      </c>
      <c r="G30" s="109">
        <f>+Effektiviseringer!$G$40</f>
        <v>0.12715977620538776</v>
      </c>
      <c r="H30" s="109">
        <f>+Effektiviseringer!$G$40</f>
        <v>0.12715977620538776</v>
      </c>
      <c r="I30" s="109">
        <f>+Effektiviseringer!$G$40</f>
        <v>0.12715977620538776</v>
      </c>
      <c r="J30" s="109">
        <f>+Effektiviseringer!$G$40</f>
        <v>0.12715977620538776</v>
      </c>
      <c r="K30" s="109">
        <f>+Effektiviseringer!$G$40</f>
        <v>0.12715977620538776</v>
      </c>
      <c r="L30" s="109">
        <f>+Effektiviseringer!$G$40</f>
        <v>0.12715977620538776</v>
      </c>
      <c r="M30" s="109"/>
      <c r="N30" s="109"/>
      <c r="O30" s="156">
        <f>+Effektiviseringer!G41</f>
        <v>0.14069568414913514</v>
      </c>
    </row>
    <row r="31" spans="1:15" x14ac:dyDescent="0.25">
      <c r="A31" s="339" t="s">
        <v>93</v>
      </c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8"/>
      <c r="N31" s="18"/>
      <c r="O31" s="28"/>
    </row>
    <row r="32" spans="1:15" x14ac:dyDescent="0.25">
      <c r="A32" s="31" t="s">
        <v>47</v>
      </c>
      <c r="B32" s="119">
        <f>+Effektiviseringer!$J$29</f>
        <v>6.0172816665517992E-3</v>
      </c>
      <c r="C32" s="119">
        <f>+Effektiviseringer!$J$29</f>
        <v>6.0172816665517992E-3</v>
      </c>
      <c r="D32" s="119">
        <f>+Effektiviseringer!$J$29</f>
        <v>6.0172816665517992E-3</v>
      </c>
      <c r="E32" s="119">
        <f>+Effektiviseringer!$J$29</f>
        <v>6.0172816665517992E-3</v>
      </c>
      <c r="F32" s="119">
        <f>+Effektiviseringer!$J$29</f>
        <v>6.0172816665517992E-3</v>
      </c>
      <c r="G32" s="119">
        <f>+Effektiviseringer!$J$30</f>
        <v>0.12715977620538776</v>
      </c>
      <c r="H32" s="119">
        <f>+Effektiviseringer!$J$30</f>
        <v>0.12715977620538776</v>
      </c>
      <c r="I32" s="119">
        <f>+Effektiviseringer!$J$30</f>
        <v>0.12715977620538776</v>
      </c>
      <c r="J32" s="119">
        <f>+Effektiviseringer!$J$30</f>
        <v>0.12715977620538776</v>
      </c>
      <c r="K32" s="119">
        <f>+Effektiviseringer!$J$30</f>
        <v>0.12715977620538776</v>
      </c>
      <c r="L32" s="119">
        <f>+Effektiviseringer!$J$30</f>
        <v>0.12715977620538776</v>
      </c>
      <c r="M32" s="119">
        <f>+Effektiviseringer!$J$31</f>
        <v>0.16823631256716953</v>
      </c>
      <c r="N32" s="119">
        <f>+Effektiviseringer!$J$31</f>
        <v>0.16823631256716953</v>
      </c>
      <c r="O32" s="136">
        <f>+Effektiviseringer!J32</f>
        <v>0.16823631256716953</v>
      </c>
    </row>
    <row r="33" spans="1:17" x14ac:dyDescent="0.25">
      <c r="A33" s="31" t="s">
        <v>48</v>
      </c>
      <c r="B33" s="119">
        <f>+Effektiviseringer!$J$34</f>
        <v>1.2069253665454749E-2</v>
      </c>
      <c r="C33" s="119">
        <f>+Effektiviseringer!$J$34</f>
        <v>1.2069253665454749E-2</v>
      </c>
      <c r="D33" s="119">
        <f>+Effektiviseringer!$J$34</f>
        <v>1.2069253665454749E-2</v>
      </c>
      <c r="E33" s="119">
        <f>+Effektiviseringer!$J$34</f>
        <v>1.2069253665454749E-2</v>
      </c>
      <c r="F33" s="119">
        <f>+Effektiviseringer!$J$34</f>
        <v>1.2069253665454749E-2</v>
      </c>
      <c r="G33" s="119">
        <f>+Effektiviseringer!$J$35</f>
        <v>0.16823631256716953</v>
      </c>
      <c r="H33" s="119">
        <f>+Effektiviseringer!$J$35</f>
        <v>0.16823631256716953</v>
      </c>
      <c r="I33" s="119">
        <f>+Effektiviseringer!$J$35</f>
        <v>0.16823631256716953</v>
      </c>
      <c r="J33" s="119">
        <f>+Effektiviseringer!$J$35</f>
        <v>0.16823631256716953</v>
      </c>
      <c r="K33" s="119">
        <f>+Effektiviseringer!$J$35</f>
        <v>0.16823631256716953</v>
      </c>
      <c r="L33" s="119">
        <f>+Effektiviseringer!$J$35</f>
        <v>0.16823631256716953</v>
      </c>
      <c r="M33" s="119">
        <f>+Effektiviseringer!$J$36</f>
        <v>0.16823631256716953</v>
      </c>
      <c r="N33" s="119">
        <f>+Effektiviseringer!$J$36</f>
        <v>0.16823631256716953</v>
      </c>
      <c r="O33" s="136">
        <f>+Effektiviseringer!J37</f>
        <v>0.16823631256716953</v>
      </c>
    </row>
    <row r="34" spans="1:17" x14ac:dyDescent="0.25">
      <c r="A34" s="29" t="s">
        <v>49</v>
      </c>
      <c r="B34" s="109">
        <f>+Effektiviseringer!$J$39</f>
        <v>1.2069253665454749E-2</v>
      </c>
      <c r="C34" s="109">
        <f>+Effektiviseringer!$J$39</f>
        <v>1.2069253665454749E-2</v>
      </c>
      <c r="D34" s="109">
        <f>+Effektiviseringer!$J$39</f>
        <v>1.2069253665454749E-2</v>
      </c>
      <c r="E34" s="109">
        <f>+Effektiviseringer!$J$39</f>
        <v>1.2069253665454749E-2</v>
      </c>
      <c r="F34" s="109">
        <f>+Effektiviseringer!$J$39</f>
        <v>1.2069253665454749E-2</v>
      </c>
      <c r="G34" s="109">
        <f>+Effektiviseringer!$J$40</f>
        <v>0.16823631256716953</v>
      </c>
      <c r="H34" s="109">
        <f>+Effektiviseringer!$J$40</f>
        <v>0.16823631256716953</v>
      </c>
      <c r="I34" s="109">
        <f>+Effektiviseringer!$J$40</f>
        <v>0.16823631256716953</v>
      </c>
      <c r="J34" s="109">
        <f>+Effektiviseringer!$J$40</f>
        <v>0.16823631256716953</v>
      </c>
      <c r="K34" s="109">
        <f>+Effektiviseringer!$J$40</f>
        <v>0.16823631256716953</v>
      </c>
      <c r="L34" s="109">
        <f>+Effektiviseringer!$J$40</f>
        <v>0.16823631256716953</v>
      </c>
      <c r="M34" s="109"/>
      <c r="N34" s="109"/>
      <c r="O34" s="156">
        <f>+Effektiviseringer!J41</f>
        <v>0.16823631256716953</v>
      </c>
    </row>
    <row r="35" spans="1:17" x14ac:dyDescent="0.25">
      <c r="A35" s="339" t="s">
        <v>94</v>
      </c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8"/>
      <c r="N35" s="18"/>
      <c r="O35" s="28"/>
    </row>
    <row r="36" spans="1:17" x14ac:dyDescent="0.25">
      <c r="A36" s="31" t="s">
        <v>47</v>
      </c>
      <c r="B36" s="119">
        <f>+Effektiviseringer!$M$29</f>
        <v>6.0172816665517992E-3</v>
      </c>
      <c r="C36" s="119">
        <f>+Effektiviseringer!$M$29</f>
        <v>6.0172816665517992E-3</v>
      </c>
      <c r="D36" s="119">
        <f>+Effektiviseringer!$M$29</f>
        <v>6.0172816665517992E-3</v>
      </c>
      <c r="E36" s="119">
        <f>+Effektiviseringer!$M$29</f>
        <v>6.0172816665517992E-3</v>
      </c>
      <c r="F36" s="119">
        <f>+Effektiviseringer!$M$29</f>
        <v>6.0172816665517992E-3</v>
      </c>
      <c r="G36" s="119">
        <f>+Effektiviseringer!$M$30</f>
        <v>0.22524139520187858</v>
      </c>
      <c r="H36" s="119">
        <f>+Effektiviseringer!$M$30</f>
        <v>0.22524139520187858</v>
      </c>
      <c r="I36" s="119">
        <f>+Effektiviseringer!$M$30</f>
        <v>0.22524139520187858</v>
      </c>
      <c r="J36" s="119">
        <f>+Effektiviseringer!$M$30</f>
        <v>0.22524139520187858</v>
      </c>
      <c r="K36" s="119">
        <f>+Effektiviseringer!$M$30</f>
        <v>0.22524139520187858</v>
      </c>
      <c r="L36" s="119">
        <f>+Effektiviseringer!$M$30</f>
        <v>0.22524139520187858</v>
      </c>
      <c r="M36" s="119">
        <f>+Effektiviseringer!$M$31</f>
        <v>0.23990379622210423</v>
      </c>
      <c r="N36" s="119">
        <f>+Effektiviseringer!$M$31</f>
        <v>0.23990379622210423</v>
      </c>
      <c r="O36" s="136">
        <f>+Effektiviseringer!M32</f>
        <v>0.22524139520187858</v>
      </c>
    </row>
    <row r="37" spans="1:17" x14ac:dyDescent="0.25">
      <c r="A37" s="31" t="s">
        <v>48</v>
      </c>
      <c r="B37" s="119">
        <f>+Effektiviseringer!$M$34</f>
        <v>1.2069253665454749E-2</v>
      </c>
      <c r="C37" s="119">
        <f>+Effektiviseringer!$M$34</f>
        <v>1.2069253665454749E-2</v>
      </c>
      <c r="D37" s="119">
        <f>+Effektiviseringer!$M$34</f>
        <v>1.2069253665454749E-2</v>
      </c>
      <c r="E37" s="119">
        <f>+Effektiviseringer!$M$34</f>
        <v>1.2069253665454749E-2</v>
      </c>
      <c r="F37" s="119">
        <f>+Effektiviseringer!$M$34</f>
        <v>1.2069253665454749E-2</v>
      </c>
      <c r="G37" s="119">
        <f>+Effektiviseringer!$M$35</f>
        <v>0.22524139520187858</v>
      </c>
      <c r="H37" s="119">
        <f>+Effektiviseringer!$M$35</f>
        <v>0.22524139520187858</v>
      </c>
      <c r="I37" s="119">
        <f>+Effektiviseringer!$M$35</f>
        <v>0.22524139520187858</v>
      </c>
      <c r="J37" s="119">
        <f>+Effektiviseringer!$M$35</f>
        <v>0.22524139520187858</v>
      </c>
      <c r="K37" s="119">
        <f>+Effektiviseringer!$M$35</f>
        <v>0.22524139520187858</v>
      </c>
      <c r="L37" s="119">
        <f>+Effektiviseringer!$M$35</f>
        <v>0.22524139520187858</v>
      </c>
      <c r="M37" s="119">
        <f>+Effektiviseringer!$M$36</f>
        <v>0.23990379622210423</v>
      </c>
      <c r="N37" s="119">
        <f>+Effektiviseringer!$M$36</f>
        <v>0.23990379622210423</v>
      </c>
      <c r="O37" s="136">
        <f>+Effektiviseringer!M37</f>
        <v>0.22524139520187858</v>
      </c>
    </row>
    <row r="38" spans="1:17" ht="15.75" thickBot="1" x14ac:dyDescent="0.3">
      <c r="A38" s="134" t="s">
        <v>49</v>
      </c>
      <c r="B38" s="138">
        <f>+Effektiviseringer!$M$39</f>
        <v>1.2069253665454749E-2</v>
      </c>
      <c r="C38" s="138">
        <f>+Effektiviseringer!$M$39</f>
        <v>1.2069253665454749E-2</v>
      </c>
      <c r="D38" s="138">
        <f>+Effektiviseringer!$M$39</f>
        <v>1.2069253665454749E-2</v>
      </c>
      <c r="E38" s="138">
        <f>+Effektiviseringer!$M$39</f>
        <v>1.2069253665454749E-2</v>
      </c>
      <c r="F38" s="138">
        <f>+Effektiviseringer!$M$39</f>
        <v>1.2069253665454749E-2</v>
      </c>
      <c r="G38" s="138">
        <f>+Effektiviseringer!$M$40</f>
        <v>0.22524139520187858</v>
      </c>
      <c r="H38" s="138">
        <f>+Effektiviseringer!$M$40</f>
        <v>0.22524139520187858</v>
      </c>
      <c r="I38" s="138">
        <f>+Effektiviseringer!$M$40</f>
        <v>0.22524139520187858</v>
      </c>
      <c r="J38" s="138">
        <f>+Effektiviseringer!$M$40</f>
        <v>0.22524139520187858</v>
      </c>
      <c r="K38" s="138">
        <f>+Effektiviseringer!$M$40</f>
        <v>0.22524139520187858</v>
      </c>
      <c r="L38" s="138">
        <f>+Effektiviseringer!$M$40</f>
        <v>0.22524139520187858</v>
      </c>
      <c r="M38" s="138"/>
      <c r="N38" s="138"/>
      <c r="O38" s="137">
        <f>+Effektiviseringer!M41</f>
        <v>0.22524139520187858</v>
      </c>
    </row>
    <row r="39" spans="1:17" ht="15.75" thickBot="1" x14ac:dyDescent="0.3">
      <c r="N39" s="18"/>
      <c r="O39" s="18"/>
    </row>
    <row r="40" spans="1:17" ht="21" x14ac:dyDescent="0.35">
      <c r="A40" s="362" t="s">
        <v>197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  <c r="Q40" s="10"/>
    </row>
    <row r="41" spans="1:17" x14ac:dyDescent="0.25">
      <c r="A41" s="131"/>
      <c r="B41" s="132" t="s">
        <v>2</v>
      </c>
      <c r="C41" s="132" t="s">
        <v>3</v>
      </c>
      <c r="D41" s="132" t="s">
        <v>4</v>
      </c>
      <c r="E41" s="132" t="s">
        <v>5</v>
      </c>
      <c r="F41" s="132" t="s">
        <v>6</v>
      </c>
      <c r="G41" s="1090" t="s">
        <v>7</v>
      </c>
      <c r="H41" s="1091"/>
      <c r="I41" s="1091"/>
      <c r="J41" s="1091"/>
      <c r="K41" s="1091"/>
      <c r="L41" s="1096"/>
      <c r="M41" s="132" t="s">
        <v>8</v>
      </c>
      <c r="N41" s="132" t="s">
        <v>9</v>
      </c>
      <c r="O41" s="133" t="s">
        <v>10</v>
      </c>
      <c r="Q41" s="379"/>
    </row>
    <row r="42" spans="1:17" x14ac:dyDescent="0.25">
      <c r="A42" s="131"/>
      <c r="B42" s="132"/>
      <c r="C42" s="132" t="s">
        <v>128</v>
      </c>
      <c r="D42" s="132"/>
      <c r="E42" s="132"/>
      <c r="F42" s="132"/>
      <c r="G42" s="148" t="s">
        <v>129</v>
      </c>
      <c r="H42" s="149" t="s">
        <v>130</v>
      </c>
      <c r="I42" s="149" t="s">
        <v>131</v>
      </c>
      <c r="J42" s="149" t="s">
        <v>132</v>
      </c>
      <c r="K42" s="149" t="s">
        <v>133</v>
      </c>
      <c r="L42" s="150" t="s">
        <v>134</v>
      </c>
      <c r="M42" s="132"/>
      <c r="N42" s="132"/>
      <c r="O42" s="133"/>
      <c r="Q42" s="379"/>
    </row>
    <row r="43" spans="1:17" x14ac:dyDescent="0.25">
      <c r="A43" s="124"/>
      <c r="B43" s="4" t="s">
        <v>11</v>
      </c>
      <c r="C43" s="4" t="s">
        <v>12</v>
      </c>
      <c r="D43" s="4" t="s">
        <v>13</v>
      </c>
      <c r="E43" s="4" t="s">
        <v>14</v>
      </c>
      <c r="F43" s="4" t="s">
        <v>15</v>
      </c>
      <c r="G43" s="151" t="s">
        <v>16</v>
      </c>
      <c r="H43" s="152" t="s">
        <v>17</v>
      </c>
      <c r="I43" s="152"/>
      <c r="J43" s="152" t="s">
        <v>18</v>
      </c>
      <c r="K43" s="152"/>
      <c r="L43" s="153"/>
      <c r="M43" s="155" t="s">
        <v>19</v>
      </c>
      <c r="N43" s="4" t="s">
        <v>20</v>
      </c>
      <c r="O43" s="4" t="s">
        <v>21</v>
      </c>
      <c r="P43" s="18"/>
      <c r="Q43" s="21"/>
    </row>
    <row r="44" spans="1:17" x14ac:dyDescent="0.25">
      <c r="A44" s="339" t="s">
        <v>176</v>
      </c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21"/>
      <c r="Q44" s="21"/>
    </row>
    <row r="45" spans="1:17" x14ac:dyDescent="0.25">
      <c r="A45" s="31" t="s">
        <v>47</v>
      </c>
      <c r="B45" s="350">
        <v>0</v>
      </c>
      <c r="C45" s="350">
        <v>0</v>
      </c>
      <c r="D45" s="350">
        <v>0</v>
      </c>
      <c r="E45" s="350">
        <v>0</v>
      </c>
      <c r="F45" s="350">
        <v>0</v>
      </c>
      <c r="G45" s="350">
        <v>0</v>
      </c>
      <c r="H45" s="350">
        <v>0</v>
      </c>
      <c r="I45" s="350">
        <v>0</v>
      </c>
      <c r="J45" s="350">
        <v>0</v>
      </c>
      <c r="K45" s="350">
        <v>0</v>
      </c>
      <c r="L45" s="350">
        <v>0</v>
      </c>
      <c r="M45" s="350">
        <v>0</v>
      </c>
      <c r="N45" s="350">
        <v>0</v>
      </c>
      <c r="O45" s="350">
        <v>0</v>
      </c>
      <c r="P45" s="21"/>
      <c r="Q45" s="21"/>
    </row>
    <row r="46" spans="1:17" x14ac:dyDescent="0.25">
      <c r="A46" s="31" t="s">
        <v>48</v>
      </c>
      <c r="B46" s="350">
        <v>0</v>
      </c>
      <c r="C46" s="350">
        <v>0</v>
      </c>
      <c r="D46" s="350">
        <v>0</v>
      </c>
      <c r="E46" s="350">
        <v>0</v>
      </c>
      <c r="F46" s="350">
        <v>0</v>
      </c>
      <c r="G46" s="350">
        <v>0</v>
      </c>
      <c r="H46" s="350">
        <v>0</v>
      </c>
      <c r="I46" s="350">
        <v>0</v>
      </c>
      <c r="J46" s="350">
        <v>0</v>
      </c>
      <c r="K46" s="350">
        <v>0</v>
      </c>
      <c r="L46" s="350">
        <v>0</v>
      </c>
      <c r="M46" s="350">
        <v>0</v>
      </c>
      <c r="N46" s="350">
        <v>0</v>
      </c>
      <c r="O46" s="350">
        <v>0</v>
      </c>
      <c r="P46" s="21"/>
      <c r="Q46" s="21"/>
    </row>
    <row r="47" spans="1:17" x14ac:dyDescent="0.25">
      <c r="A47" s="29" t="s">
        <v>49</v>
      </c>
      <c r="B47" s="350">
        <v>0</v>
      </c>
      <c r="C47" s="350">
        <v>0</v>
      </c>
      <c r="D47" s="350">
        <v>0</v>
      </c>
      <c r="E47" s="350">
        <v>0</v>
      </c>
      <c r="F47" s="350">
        <v>0</v>
      </c>
      <c r="G47" s="350">
        <v>0</v>
      </c>
      <c r="H47" s="350">
        <v>0</v>
      </c>
      <c r="I47" s="350">
        <v>0</v>
      </c>
      <c r="J47" s="350">
        <v>0</v>
      </c>
      <c r="K47" s="350">
        <v>0</v>
      </c>
      <c r="L47" s="350">
        <v>0</v>
      </c>
      <c r="M47" s="350">
        <v>0</v>
      </c>
      <c r="N47" s="350">
        <v>0</v>
      </c>
      <c r="O47" s="350">
        <v>0</v>
      </c>
      <c r="P47" s="21"/>
      <c r="Q47" s="21"/>
    </row>
    <row r="48" spans="1:17" x14ac:dyDescent="0.25">
      <c r="A48" s="339" t="s">
        <v>92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28"/>
      <c r="Q48" s="10"/>
    </row>
    <row r="49" spans="1:17" x14ac:dyDescent="0.25">
      <c r="A49" s="31" t="s">
        <v>47</v>
      </c>
      <c r="B49" s="119">
        <f>+Effektiviseringer!$H$29</f>
        <v>9.7964556187346563E-3</v>
      </c>
      <c r="C49" s="119">
        <f>+Effektiviseringer!$H$29</f>
        <v>9.7964556187346563E-3</v>
      </c>
      <c r="D49" s="119">
        <f>+Effektiviseringer!$H$29</f>
        <v>9.7964556187346563E-3</v>
      </c>
      <c r="E49" s="119">
        <f>+Effektiviseringer!$H$29</f>
        <v>9.7964556187346563E-3</v>
      </c>
      <c r="F49" s="119">
        <f>+Effektiviseringer!$H$29</f>
        <v>9.7964556187346563E-3</v>
      </c>
      <c r="G49" s="119">
        <f>+Effektiviseringer!$H$30</f>
        <v>8.1038446651015672E-2</v>
      </c>
      <c r="H49" s="119">
        <f>+Effektiviseringer!$H$30</f>
        <v>8.1038446651015672E-2</v>
      </c>
      <c r="I49" s="119">
        <f>+Effektiviseringer!$H$30</f>
        <v>8.1038446651015672E-2</v>
      </c>
      <c r="J49" s="119">
        <f>+Effektiviseringer!$H$30</f>
        <v>8.1038446651015672E-2</v>
      </c>
      <c r="K49" s="119">
        <f>+Effektiviseringer!$H$30</f>
        <v>8.1038446651015672E-2</v>
      </c>
      <c r="L49" s="119">
        <f>+Effektiviseringer!$H$30</f>
        <v>8.1038446651015672E-2</v>
      </c>
      <c r="M49" s="119">
        <f>+Effektiviseringer!$H$31</f>
        <v>0.19137285953658245</v>
      </c>
      <c r="N49" s="119">
        <f>+Effektiviseringer!$H$31</f>
        <v>0.19137285953658245</v>
      </c>
      <c r="O49" s="136">
        <f>+Effektiviseringer!H32</f>
        <v>0.168462555450962</v>
      </c>
    </row>
    <row r="50" spans="1:17" x14ac:dyDescent="0.25">
      <c r="A50" s="31" t="s">
        <v>48</v>
      </c>
      <c r="B50" s="119">
        <f>+Effektiviseringer!$H$34</f>
        <v>1.9686397533730027E-2</v>
      </c>
      <c r="C50" s="119">
        <f>+Effektiviseringer!$H$34</f>
        <v>1.9686397533730027E-2</v>
      </c>
      <c r="D50" s="119">
        <f>+Effektiviseringer!$H$34</f>
        <v>1.9686397533730027E-2</v>
      </c>
      <c r="E50" s="119">
        <f>+Effektiviseringer!$H$34</f>
        <v>1.9686397533730027E-2</v>
      </c>
      <c r="F50" s="119">
        <f>+Effektiviseringer!$H$34</f>
        <v>1.9686397533730027E-2</v>
      </c>
      <c r="G50" s="119">
        <f>+Effektiviseringer!$H$35</f>
        <v>0.21472063332019076</v>
      </c>
      <c r="H50" s="119">
        <f>+Effektiviseringer!$H$35</f>
        <v>0.21472063332019076</v>
      </c>
      <c r="I50" s="119">
        <f>+Effektiviseringer!$H$35</f>
        <v>0.21472063332019076</v>
      </c>
      <c r="J50" s="119">
        <f>+Effektiviseringer!$H$35</f>
        <v>0.21472063332019076</v>
      </c>
      <c r="K50" s="119">
        <f>+Effektiviseringer!$H$35</f>
        <v>0.21472063332019076</v>
      </c>
      <c r="L50" s="119">
        <f>+Effektiviseringer!$H$35</f>
        <v>0.21472063332019076</v>
      </c>
      <c r="M50" s="119">
        <f>+Effektiviseringer!$H$36</f>
        <v>0.21472063332019076</v>
      </c>
      <c r="N50" s="119">
        <f>+Effektiviseringer!$H$36</f>
        <v>0.21472063332019076</v>
      </c>
      <c r="O50" s="136">
        <f>+Effektiviseringer!H37</f>
        <v>0.23851400633136133</v>
      </c>
    </row>
    <row r="51" spans="1:17" x14ac:dyDescent="0.25">
      <c r="A51" s="29" t="s">
        <v>49</v>
      </c>
      <c r="B51" s="109">
        <f>+Effektiviseringer!$H$39</f>
        <v>1.9686397533730027E-2</v>
      </c>
      <c r="C51" s="109">
        <f>+Effektiviseringer!$H$39</f>
        <v>1.9686397533730027E-2</v>
      </c>
      <c r="D51" s="109">
        <f>+Effektiviseringer!$H$39</f>
        <v>1.9686397533730027E-2</v>
      </c>
      <c r="E51" s="109">
        <f>+Effektiviseringer!$H$39</f>
        <v>1.9686397533730027E-2</v>
      </c>
      <c r="F51" s="109">
        <f>+Effektiviseringer!$H$39</f>
        <v>1.9686397533730027E-2</v>
      </c>
      <c r="G51" s="109">
        <f>+Effektiviseringer!$H$40</f>
        <v>0.21472063332019076</v>
      </c>
      <c r="H51" s="109">
        <f>+Effektiviseringer!$H$40</f>
        <v>0.21472063332019076</v>
      </c>
      <c r="I51" s="109">
        <f>+Effektiviseringer!$H$40</f>
        <v>0.21472063332019076</v>
      </c>
      <c r="J51" s="109">
        <f>+Effektiviseringer!$H$40</f>
        <v>0.21472063332019076</v>
      </c>
      <c r="K51" s="109">
        <f>+Effektiviseringer!$H$40</f>
        <v>0.21472063332019076</v>
      </c>
      <c r="L51" s="109">
        <f>+Effektiviseringer!$H$40</f>
        <v>0.21472063332019076</v>
      </c>
      <c r="M51" s="109"/>
      <c r="N51" s="109"/>
      <c r="O51" s="156">
        <f>+Effektiviseringer!H41</f>
        <v>0.23851400633136133</v>
      </c>
      <c r="P51" s="5"/>
      <c r="Q51" s="5"/>
    </row>
    <row r="52" spans="1:17" x14ac:dyDescent="0.25">
      <c r="A52" s="339" t="s">
        <v>93</v>
      </c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8"/>
      <c r="N52" s="18"/>
      <c r="O52" s="28"/>
    </row>
    <row r="53" spans="1:17" x14ac:dyDescent="0.25">
      <c r="A53" s="31" t="s">
        <v>47</v>
      </c>
      <c r="B53" s="119">
        <f>+Effektiviseringer!$K$29</f>
        <v>9.7964556187346563E-3</v>
      </c>
      <c r="C53" s="119">
        <f>+Effektiviseringer!$K$29</f>
        <v>9.7964556187346563E-3</v>
      </c>
      <c r="D53" s="119">
        <f>+Effektiviseringer!$K$29</f>
        <v>9.7964556187346563E-3</v>
      </c>
      <c r="E53" s="119">
        <f>+Effektiviseringer!$K$29</f>
        <v>9.7964556187346563E-3</v>
      </c>
      <c r="F53" s="119">
        <f>+Effektiviseringer!$K$29</f>
        <v>9.7964556187346563E-3</v>
      </c>
      <c r="G53" s="119">
        <f>+Effektiviseringer!$K$30</f>
        <v>0.21472063332019076</v>
      </c>
      <c r="H53" s="119">
        <f>+Effektiviseringer!$K$30</f>
        <v>0.21472063332019076</v>
      </c>
      <c r="I53" s="119">
        <f>+Effektiviseringer!$K$30</f>
        <v>0.21472063332019076</v>
      </c>
      <c r="J53" s="119">
        <f>+Effektiviseringer!$K$30</f>
        <v>0.21472063332019076</v>
      </c>
      <c r="K53" s="119">
        <f>+Effektiviseringer!$K$30</f>
        <v>0.21472063332019076</v>
      </c>
      <c r="L53" s="119">
        <f>+Effektiviseringer!$K$30</f>
        <v>0.21472063332019076</v>
      </c>
      <c r="M53" s="119">
        <f>+Effektiviseringer!$K$31</f>
        <v>0.28747080530918789</v>
      </c>
      <c r="N53" s="119">
        <f>+Effektiviseringer!$K$31</f>
        <v>0.28747080530918789</v>
      </c>
      <c r="O53" s="136">
        <f>+Effektiviseringer!K32</f>
        <v>0.28747080530918789</v>
      </c>
    </row>
    <row r="54" spans="1:17" x14ac:dyDescent="0.25">
      <c r="A54" s="31" t="s">
        <v>48</v>
      </c>
      <c r="B54" s="119">
        <f>+Effektiviseringer!$K$34</f>
        <v>1.9686397533730027E-2</v>
      </c>
      <c r="C54" s="119">
        <f>+Effektiviseringer!$K$34</f>
        <v>1.9686397533730027E-2</v>
      </c>
      <c r="D54" s="119">
        <f>+Effektiviseringer!$K$34</f>
        <v>1.9686397533730027E-2</v>
      </c>
      <c r="E54" s="119">
        <f>+Effektiviseringer!$K$34</f>
        <v>1.9686397533730027E-2</v>
      </c>
      <c r="F54" s="119">
        <f>+Effektiviseringer!$K$34</f>
        <v>1.9686397533730027E-2</v>
      </c>
      <c r="G54" s="119">
        <f>+Effektiviseringer!$K$35</f>
        <v>0.28747080530918789</v>
      </c>
      <c r="H54" s="119">
        <f>+Effektiviseringer!$K$35</f>
        <v>0.28747080530918789</v>
      </c>
      <c r="I54" s="119">
        <f>+Effektiviseringer!$K$35</f>
        <v>0.28747080530918789</v>
      </c>
      <c r="J54" s="119">
        <f>+Effektiviseringer!$K$35</f>
        <v>0.28747080530918789</v>
      </c>
      <c r="K54" s="119">
        <f>+Effektiviseringer!$K$35</f>
        <v>0.28747080530918789</v>
      </c>
      <c r="L54" s="119">
        <f>+Effektiviseringer!$K$35</f>
        <v>0.28747080530918789</v>
      </c>
      <c r="M54" s="119">
        <f>+Effektiviseringer!$K$36</f>
        <v>0.28747080530918789</v>
      </c>
      <c r="N54" s="119">
        <f>+Effektiviseringer!$K$36</f>
        <v>0.28747080530918789</v>
      </c>
      <c r="O54" s="136">
        <f>+Effektiviseringer!K37</f>
        <v>0.28747080530918789</v>
      </c>
    </row>
    <row r="55" spans="1:17" x14ac:dyDescent="0.25">
      <c r="A55" s="29" t="s">
        <v>49</v>
      </c>
      <c r="B55" s="109">
        <f>+Effektiviseringer!$K$39</f>
        <v>1.9686397533730027E-2</v>
      </c>
      <c r="C55" s="109">
        <f>+Effektiviseringer!$K$39</f>
        <v>1.9686397533730027E-2</v>
      </c>
      <c r="D55" s="109">
        <f>+Effektiviseringer!$K$39</f>
        <v>1.9686397533730027E-2</v>
      </c>
      <c r="E55" s="109">
        <f>+Effektiviseringer!$K$39</f>
        <v>1.9686397533730027E-2</v>
      </c>
      <c r="F55" s="109">
        <f>+Effektiviseringer!$K$39</f>
        <v>1.9686397533730027E-2</v>
      </c>
      <c r="G55" s="109">
        <f>+Effektiviseringer!$K$40</f>
        <v>0.28747080530918789</v>
      </c>
      <c r="H55" s="109">
        <f>+Effektiviseringer!$K$40</f>
        <v>0.28747080530918789</v>
      </c>
      <c r="I55" s="109">
        <f>+Effektiviseringer!$K$40</f>
        <v>0.28747080530918789</v>
      </c>
      <c r="J55" s="109">
        <f>+Effektiviseringer!$K$40</f>
        <v>0.28747080530918789</v>
      </c>
      <c r="K55" s="109">
        <f>+Effektiviseringer!$K$40</f>
        <v>0.28747080530918789</v>
      </c>
      <c r="L55" s="109">
        <f>+Effektiviseringer!$K$40</f>
        <v>0.28747080530918789</v>
      </c>
      <c r="M55" s="109"/>
      <c r="N55" s="109"/>
      <c r="O55" s="156">
        <f>+Effektiviseringer!K41</f>
        <v>0.28747080530918789</v>
      </c>
      <c r="P55" s="5"/>
      <c r="Q55" s="5"/>
    </row>
    <row r="56" spans="1:17" x14ac:dyDescent="0.25">
      <c r="A56" s="339" t="s">
        <v>94</v>
      </c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8"/>
      <c r="N56" s="18"/>
      <c r="O56" s="28"/>
    </row>
    <row r="57" spans="1:17" x14ac:dyDescent="0.25">
      <c r="A57" s="31" t="s">
        <v>47</v>
      </c>
      <c r="B57" s="119">
        <f>+Effektiviseringer!$N$29</f>
        <v>9.7964556187346563E-3</v>
      </c>
      <c r="C57" s="119">
        <f>+Effektiviseringer!$N$29</f>
        <v>9.7964556187346563E-3</v>
      </c>
      <c r="D57" s="119">
        <f>+Effektiviseringer!$N$29</f>
        <v>9.7964556187346563E-3</v>
      </c>
      <c r="E57" s="119">
        <f>+Effektiviseringer!$N$29</f>
        <v>9.7964556187346563E-3</v>
      </c>
      <c r="F57" s="119">
        <f>+Effektiviseringer!$N$29</f>
        <v>9.7964556187346563E-3</v>
      </c>
      <c r="G57" s="119">
        <f>+Effektiviseringer!$N$30</f>
        <v>0.39110592191091831</v>
      </c>
      <c r="H57" s="119">
        <f>+Effektiviseringer!$N$30</f>
        <v>0.39110592191091831</v>
      </c>
      <c r="I57" s="119">
        <f>+Effektiviseringer!$N$30</f>
        <v>0.39110592191091831</v>
      </c>
      <c r="J57" s="119">
        <f>+Effektiviseringer!$N$30</f>
        <v>0.39110592191091831</v>
      </c>
      <c r="K57" s="119">
        <f>+Effektiviseringer!$N$30</f>
        <v>0.39110592191091831</v>
      </c>
      <c r="L57" s="119">
        <f>+Effektiviseringer!$N$30</f>
        <v>0.39110592191091831</v>
      </c>
      <c r="M57" s="119">
        <f>+Effektiviseringer!$N$31</f>
        <v>0.41825878787702897</v>
      </c>
      <c r="N57" s="119">
        <f>+Effektiviseringer!$N$31</f>
        <v>0.41825878787702897</v>
      </c>
      <c r="O57" s="136">
        <f>+Effektiviseringer!N32</f>
        <v>0.39110592191091831</v>
      </c>
    </row>
    <row r="58" spans="1:17" x14ac:dyDescent="0.25">
      <c r="A58" s="31" t="s">
        <v>48</v>
      </c>
      <c r="B58" s="119">
        <f>+Effektiviseringer!$N$34</f>
        <v>1.9686397533730027E-2</v>
      </c>
      <c r="C58" s="119">
        <f>+Effektiviseringer!$N$34</f>
        <v>1.9686397533730027E-2</v>
      </c>
      <c r="D58" s="119">
        <f>+Effektiviseringer!$N$34</f>
        <v>1.9686397533730027E-2</v>
      </c>
      <c r="E58" s="119">
        <f>+Effektiviseringer!$N$34</f>
        <v>1.9686397533730027E-2</v>
      </c>
      <c r="F58" s="119">
        <f>+Effektiviseringer!$N$34</f>
        <v>1.9686397533730027E-2</v>
      </c>
      <c r="G58" s="119">
        <f>+Effektiviseringer!$N$35</f>
        <v>0.39110592191091831</v>
      </c>
      <c r="H58" s="119">
        <f>+Effektiviseringer!$N$35</f>
        <v>0.39110592191091831</v>
      </c>
      <c r="I58" s="119">
        <f>+Effektiviseringer!$N$35</f>
        <v>0.39110592191091831</v>
      </c>
      <c r="J58" s="119">
        <f>+Effektiviseringer!$N$35</f>
        <v>0.39110592191091831</v>
      </c>
      <c r="K58" s="119">
        <f>+Effektiviseringer!$N$35</f>
        <v>0.39110592191091831</v>
      </c>
      <c r="L58" s="119">
        <f>+Effektiviseringer!$N$35</f>
        <v>0.39110592191091831</v>
      </c>
      <c r="M58" s="119">
        <f>+Effektiviseringer!$N$36</f>
        <v>0.41825878787702897</v>
      </c>
      <c r="N58" s="119">
        <f>+Effektiviseringer!$N$36</f>
        <v>0.41825878787702897</v>
      </c>
      <c r="O58" s="136">
        <f>+Effektiviseringer!N37</f>
        <v>0.39110592191091831</v>
      </c>
    </row>
    <row r="59" spans="1:17" ht="15.75" thickBot="1" x14ac:dyDescent="0.3">
      <c r="A59" s="134" t="s">
        <v>49</v>
      </c>
      <c r="B59" s="138">
        <f>+Effektiviseringer!$N$39</f>
        <v>1.9686397533730027E-2</v>
      </c>
      <c r="C59" s="138">
        <f>+Effektiviseringer!$N$39</f>
        <v>1.9686397533730027E-2</v>
      </c>
      <c r="D59" s="138">
        <f>+Effektiviseringer!$N$39</f>
        <v>1.9686397533730027E-2</v>
      </c>
      <c r="E59" s="138">
        <f>+Effektiviseringer!$N$39</f>
        <v>1.9686397533730027E-2</v>
      </c>
      <c r="F59" s="138">
        <f>+Effektiviseringer!$N$39</f>
        <v>1.9686397533730027E-2</v>
      </c>
      <c r="G59" s="138">
        <f>+Effektiviseringer!$N$40</f>
        <v>0.39110592191091831</v>
      </c>
      <c r="H59" s="138">
        <f>+Effektiviseringer!$N$40</f>
        <v>0.39110592191091831</v>
      </c>
      <c r="I59" s="138">
        <f>+Effektiviseringer!$N$40</f>
        <v>0.39110592191091831</v>
      </c>
      <c r="J59" s="138">
        <f>+Effektiviseringer!$N$40</f>
        <v>0.39110592191091831</v>
      </c>
      <c r="K59" s="138">
        <f>+Effektiviseringer!$N$40</f>
        <v>0.39110592191091831</v>
      </c>
      <c r="L59" s="138">
        <f>+Effektiviseringer!$N$40</f>
        <v>0.39110592191091831</v>
      </c>
      <c r="M59" s="138"/>
      <c r="N59" s="138"/>
      <c r="O59" s="137">
        <f>+Effektiviseringer!N41</f>
        <v>0.39110592191091831</v>
      </c>
    </row>
    <row r="60" spans="1:17" ht="15.75" thickBot="1" x14ac:dyDescent="0.3">
      <c r="A60" s="14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99"/>
    </row>
    <row r="61" spans="1:17" ht="18.75" x14ac:dyDescent="0.3">
      <c r="A61" s="657" t="s">
        <v>295</v>
      </c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40"/>
    </row>
    <row r="62" spans="1:17" x14ac:dyDescent="0.25">
      <c r="A62" s="339" t="s">
        <v>176</v>
      </c>
      <c r="B62" s="538">
        <f>+B63+B64+B65</f>
        <v>0</v>
      </c>
      <c r="C62" s="538">
        <f t="shared" ref="C62:O62" si="0">+C63+C64+C65</f>
        <v>5.0333667198009362</v>
      </c>
      <c r="D62" s="538">
        <f t="shared" si="0"/>
        <v>0</v>
      </c>
      <c r="E62" s="538">
        <f t="shared" si="0"/>
        <v>0</v>
      </c>
      <c r="F62" s="538">
        <f t="shared" si="0"/>
        <v>2.5227920261360794</v>
      </c>
      <c r="G62" s="538">
        <f t="shared" si="0"/>
        <v>3.1449903949861318</v>
      </c>
      <c r="H62" s="538">
        <f t="shared" si="0"/>
        <v>9.3079249184286432</v>
      </c>
      <c r="I62" s="538">
        <f t="shared" si="0"/>
        <v>8.6484389639000341</v>
      </c>
      <c r="J62" s="538">
        <f t="shared" si="0"/>
        <v>16.490052811306789</v>
      </c>
      <c r="K62" s="538">
        <f t="shared" si="0"/>
        <v>5.1186086297486213</v>
      </c>
      <c r="L62" s="538">
        <f t="shared" si="0"/>
        <v>23.958022088725844</v>
      </c>
      <c r="M62" s="538">
        <f t="shared" si="0"/>
        <v>11.993012444277552</v>
      </c>
      <c r="N62" s="538">
        <f t="shared" si="0"/>
        <v>5.9137125441889724</v>
      </c>
      <c r="O62" s="538">
        <f t="shared" si="0"/>
        <v>45.930021728187107</v>
      </c>
      <c r="P62" s="538"/>
      <c r="Q62" s="539">
        <f t="shared" ref="Q62" si="1">+Q63+Q64+Q65</f>
        <v>138.0609432696867</v>
      </c>
    </row>
    <row r="63" spans="1:17" x14ac:dyDescent="0.25">
      <c r="A63" s="31" t="s">
        <v>47</v>
      </c>
      <c r="B63" s="543">
        <f t="shared" ref="B63:N63" si="2">+B9*(1+$B15*$E15)^$B$2*(1-B24)</f>
        <v>0</v>
      </c>
      <c r="C63" s="543">
        <f>+C9*(1+$B15*$E15)^$B$2*(1-C24)</f>
        <v>3.8471336108683349</v>
      </c>
      <c r="D63" s="543">
        <f t="shared" si="2"/>
        <v>0</v>
      </c>
      <c r="E63" s="543">
        <f t="shared" si="2"/>
        <v>0</v>
      </c>
      <c r="F63" s="543">
        <f t="shared" si="2"/>
        <v>2.5227920261360794</v>
      </c>
      <c r="G63" s="543">
        <f t="shared" si="2"/>
        <v>1.1787977540506946</v>
      </c>
      <c r="H63" s="543">
        <f t="shared" si="2"/>
        <v>6.8507241146123707</v>
      </c>
      <c r="I63" s="543">
        <f t="shared" si="2"/>
        <v>1.4233991991582151</v>
      </c>
      <c r="J63" s="543">
        <f t="shared" si="2"/>
        <v>0</v>
      </c>
      <c r="K63" s="543">
        <f t="shared" si="2"/>
        <v>0</v>
      </c>
      <c r="L63" s="543">
        <f t="shared" si="2"/>
        <v>0</v>
      </c>
      <c r="M63" s="543">
        <f t="shared" si="2"/>
        <v>0.23621747585821209</v>
      </c>
      <c r="N63" s="543">
        <f t="shared" si="2"/>
        <v>0</v>
      </c>
      <c r="O63" s="543">
        <f>+O9*(1+$B15*$F15)^$B$2*(1-O24)</f>
        <v>7.0748938712617289</v>
      </c>
      <c r="P63" s="544"/>
      <c r="Q63" s="540">
        <f>+SUM(B63:O63)</f>
        <v>23.133958051945637</v>
      </c>
    </row>
    <row r="64" spans="1:17" x14ac:dyDescent="0.25">
      <c r="A64" s="31" t="s">
        <v>48</v>
      </c>
      <c r="B64" s="543">
        <f t="shared" ref="B64:N64" si="3">+B10*(1+$B16*$E16)^$B$2*(1-B25)</f>
        <v>0</v>
      </c>
      <c r="C64" s="543">
        <f t="shared" si="3"/>
        <v>0.12629762704228786</v>
      </c>
      <c r="D64" s="543">
        <f t="shared" si="3"/>
        <v>0</v>
      </c>
      <c r="E64" s="543">
        <f t="shared" si="3"/>
        <v>0</v>
      </c>
      <c r="F64" s="543">
        <f t="shared" si="3"/>
        <v>0</v>
      </c>
      <c r="G64" s="543">
        <f t="shared" si="3"/>
        <v>1.0364246743649865</v>
      </c>
      <c r="H64" s="543">
        <f t="shared" si="3"/>
        <v>1.5274328372458215</v>
      </c>
      <c r="I64" s="543">
        <f t="shared" si="3"/>
        <v>7.2250397647418199</v>
      </c>
      <c r="J64" s="543">
        <f t="shared" si="3"/>
        <v>16.490052811306789</v>
      </c>
      <c r="K64" s="543">
        <f t="shared" si="3"/>
        <v>5.1186086297486213</v>
      </c>
      <c r="L64" s="543">
        <f t="shared" si="3"/>
        <v>23.958022088725844</v>
      </c>
      <c r="M64" s="543">
        <f t="shared" si="3"/>
        <v>11.75679496841934</v>
      </c>
      <c r="N64" s="543">
        <f t="shared" si="3"/>
        <v>5.9137125441889724</v>
      </c>
      <c r="O64" s="543">
        <f>+O10*(1+$B16*$F16)^$B$2*(1-O25)</f>
        <v>36.879063667825321</v>
      </c>
      <c r="P64" s="544"/>
      <c r="Q64" s="540">
        <f t="shared" ref="Q64:Q65" si="4">+SUM(B64:O64)</f>
        <v>110.03144961360979</v>
      </c>
    </row>
    <row r="65" spans="1:17" x14ac:dyDescent="0.25">
      <c r="A65" s="29" t="s">
        <v>49</v>
      </c>
      <c r="B65" s="545">
        <f t="shared" ref="B65:N65" si="5">+B11*(1+$B17*$E17)^$B$2*(1-B26)</f>
        <v>0</v>
      </c>
      <c r="C65" s="545">
        <f t="shared" si="5"/>
        <v>1.0599354818903133</v>
      </c>
      <c r="D65" s="545">
        <f t="shared" si="5"/>
        <v>0</v>
      </c>
      <c r="E65" s="545">
        <f t="shared" si="5"/>
        <v>0</v>
      </c>
      <c r="F65" s="545">
        <f t="shared" si="5"/>
        <v>0</v>
      </c>
      <c r="G65" s="545">
        <f t="shared" si="5"/>
        <v>0.92976796657045024</v>
      </c>
      <c r="H65" s="545">
        <f t="shared" si="5"/>
        <v>0.92976796657045024</v>
      </c>
      <c r="I65" s="545">
        <f t="shared" si="5"/>
        <v>0</v>
      </c>
      <c r="J65" s="545">
        <f t="shared" si="5"/>
        <v>0</v>
      </c>
      <c r="K65" s="545">
        <f t="shared" si="5"/>
        <v>0</v>
      </c>
      <c r="L65" s="545">
        <f t="shared" si="5"/>
        <v>0</v>
      </c>
      <c r="M65" s="545">
        <f t="shared" si="5"/>
        <v>0</v>
      </c>
      <c r="N65" s="545">
        <f t="shared" si="5"/>
        <v>0</v>
      </c>
      <c r="O65" s="545">
        <f>+O11*(1+$B17*$F17)^$B$2*(1-O26)</f>
        <v>1.9760641891000597</v>
      </c>
      <c r="P65" s="546"/>
      <c r="Q65" s="541">
        <f t="shared" si="4"/>
        <v>4.8955356041312736</v>
      </c>
    </row>
    <row r="66" spans="1:17" x14ac:dyDescent="0.25">
      <c r="A66" s="339" t="s">
        <v>92</v>
      </c>
      <c r="B66" s="538">
        <f>+B67+B68+B69</f>
        <v>0</v>
      </c>
      <c r="C66" s="538">
        <f t="shared" ref="C66:O66" si="6">+C67+C68+C69</f>
        <v>4.9959004849574145</v>
      </c>
      <c r="D66" s="538">
        <f t="shared" si="6"/>
        <v>0</v>
      </c>
      <c r="E66" s="538">
        <f t="shared" si="6"/>
        <v>0</v>
      </c>
      <c r="F66" s="538">
        <f t="shared" si="6"/>
        <v>2.5076116759286879</v>
      </c>
      <c r="G66" s="538">
        <f t="shared" si="6"/>
        <v>2.8370668047519612</v>
      </c>
      <c r="H66" s="538">
        <f t="shared" si="6"/>
        <v>8.6589577561649911</v>
      </c>
      <c r="I66" s="538">
        <f t="shared" si="6"/>
        <v>7.6597866384361728</v>
      </c>
      <c r="J66" s="538">
        <f t="shared" si="6"/>
        <v>14.393181386205992</v>
      </c>
      <c r="K66" s="538">
        <f t="shared" si="6"/>
        <v>4.4677275019068201</v>
      </c>
      <c r="L66" s="538">
        <f t="shared" si="6"/>
        <v>20.911525361599729</v>
      </c>
      <c r="M66" s="538">
        <f t="shared" si="6"/>
        <v>10.471144705022697</v>
      </c>
      <c r="N66" s="538">
        <f t="shared" si="6"/>
        <v>5.1617261805269088</v>
      </c>
      <c r="O66" s="538">
        <f t="shared" si="6"/>
        <v>39.751904377833988</v>
      </c>
      <c r="P66" s="538"/>
      <c r="Q66" s="539">
        <f t="shared" ref="Q66" si="7">+Q67+Q68+Q69</f>
        <v>121.81653287333538</v>
      </c>
    </row>
    <row r="67" spans="1:17" x14ac:dyDescent="0.25">
      <c r="A67" s="31" t="s">
        <v>47</v>
      </c>
      <c r="B67" s="543">
        <f t="shared" ref="B67:N67" si="8">+B9*(1+$B15*$E15)^$B$2*(1-B28)</f>
        <v>0</v>
      </c>
      <c r="C67" s="543">
        <f t="shared" si="8"/>
        <v>3.8239843243228817</v>
      </c>
      <c r="D67" s="543">
        <f t="shared" si="8"/>
        <v>0</v>
      </c>
      <c r="E67" s="543">
        <f t="shared" si="8"/>
        <v>0</v>
      </c>
      <c r="F67" s="543">
        <f t="shared" si="8"/>
        <v>2.5076116759286879</v>
      </c>
      <c r="G67" s="543">
        <f t="shared" si="8"/>
        <v>1.1208947800145548</v>
      </c>
      <c r="H67" s="543">
        <f t="shared" si="8"/>
        <v>6.5142140566536941</v>
      </c>
      <c r="I67" s="543">
        <f t="shared" si="8"/>
        <v>1.35348131325395</v>
      </c>
      <c r="J67" s="543">
        <f t="shared" si="8"/>
        <v>0</v>
      </c>
      <c r="K67" s="543">
        <f t="shared" si="8"/>
        <v>0</v>
      </c>
      <c r="L67" s="543">
        <f t="shared" si="8"/>
        <v>0</v>
      </c>
      <c r="M67" s="543">
        <f t="shared" si="8"/>
        <v>0.20934115368018957</v>
      </c>
      <c r="N67" s="543">
        <f t="shared" si="8"/>
        <v>0</v>
      </c>
      <c r="O67" s="543">
        <f>+O9*(1+$B15*$F15)^$B$2*(1-O28)</f>
        <v>6.3635253174408488</v>
      </c>
      <c r="P67" s="544"/>
      <c r="Q67" s="540">
        <f>+SUM(B67:O67)</f>
        <v>21.893052621294807</v>
      </c>
    </row>
    <row r="68" spans="1:17" x14ac:dyDescent="0.25">
      <c r="A68" s="31" t="s">
        <v>48</v>
      </c>
      <c r="B68" s="543">
        <f t="shared" ref="B68:N68" si="9">+B10*(1+$B16*$E16)^$B$2*(1-B29)</f>
        <v>0</v>
      </c>
      <c r="C68" s="543">
        <f t="shared" si="9"/>
        <v>0.12477330894416949</v>
      </c>
      <c r="D68" s="543">
        <f t="shared" si="9"/>
        <v>0</v>
      </c>
      <c r="E68" s="543">
        <f t="shared" si="9"/>
        <v>0</v>
      </c>
      <c r="F68" s="543">
        <f t="shared" si="9"/>
        <v>0</v>
      </c>
      <c r="G68" s="543">
        <f t="shared" si="9"/>
        <v>0.90463314471899292</v>
      </c>
      <c r="H68" s="543">
        <f t="shared" si="9"/>
        <v>1.3332048194928823</v>
      </c>
      <c r="I68" s="543">
        <f t="shared" si="9"/>
        <v>6.3063053251822225</v>
      </c>
      <c r="J68" s="543">
        <f t="shared" si="9"/>
        <v>14.393181386205992</v>
      </c>
      <c r="K68" s="543">
        <f t="shared" si="9"/>
        <v>4.4677275019068201</v>
      </c>
      <c r="L68" s="543">
        <f t="shared" si="9"/>
        <v>20.911525361599729</v>
      </c>
      <c r="M68" s="543">
        <f t="shared" si="9"/>
        <v>10.261803551342508</v>
      </c>
      <c r="N68" s="543">
        <f t="shared" si="9"/>
        <v>5.1617261805269088</v>
      </c>
      <c r="O68" s="543">
        <f>+O10*(1+$B16*$F16)^$B$2*(1-O29)</f>
        <v>31.690338574301123</v>
      </c>
      <c r="P68" s="544"/>
      <c r="Q68" s="540">
        <f t="shared" ref="Q68:Q69" si="10">+SUM(B68:O68)</f>
        <v>95.555219154221348</v>
      </c>
    </row>
    <row r="69" spans="1:17" x14ac:dyDescent="0.25">
      <c r="A69" s="29" t="s">
        <v>49</v>
      </c>
      <c r="B69" s="545">
        <f t="shared" ref="B69:N69" si="11">+B11*(1+$B17*$E17)^$B$2*(1-B30)</f>
        <v>0</v>
      </c>
      <c r="C69" s="545">
        <f t="shared" si="11"/>
        <v>1.0471428516903631</v>
      </c>
      <c r="D69" s="545">
        <f t="shared" si="11"/>
        <v>0</v>
      </c>
      <c r="E69" s="545">
        <f t="shared" si="11"/>
        <v>0</v>
      </c>
      <c r="F69" s="545">
        <f t="shared" si="11"/>
        <v>0</v>
      </c>
      <c r="G69" s="545">
        <f t="shared" si="11"/>
        <v>0.81153888001841334</v>
      </c>
      <c r="H69" s="545">
        <f t="shared" si="11"/>
        <v>0.81153888001841334</v>
      </c>
      <c r="I69" s="545">
        <f t="shared" si="11"/>
        <v>0</v>
      </c>
      <c r="J69" s="545">
        <f t="shared" si="11"/>
        <v>0</v>
      </c>
      <c r="K69" s="545">
        <f t="shared" si="11"/>
        <v>0</v>
      </c>
      <c r="L69" s="545">
        <f t="shared" si="11"/>
        <v>0</v>
      </c>
      <c r="M69" s="545">
        <f t="shared" si="11"/>
        <v>0</v>
      </c>
      <c r="N69" s="545">
        <f t="shared" si="11"/>
        <v>0</v>
      </c>
      <c r="O69" s="545">
        <f>+O11*(1+$B17*$F17)^$B$2*(1-O30)</f>
        <v>1.6980404860920209</v>
      </c>
      <c r="P69" s="546"/>
      <c r="Q69" s="541">
        <f t="shared" si="10"/>
        <v>4.3682610978192109</v>
      </c>
    </row>
    <row r="70" spans="1:17" x14ac:dyDescent="0.25">
      <c r="A70" s="339" t="s">
        <v>93</v>
      </c>
      <c r="B70" s="538">
        <f>+B71+B72+B73</f>
        <v>0</v>
      </c>
      <c r="C70" s="538">
        <f t="shared" ref="C70:O70" si="12">+C71+C72+C73</f>
        <v>4.9959004849574145</v>
      </c>
      <c r="D70" s="538">
        <f t="shared" si="12"/>
        <v>0</v>
      </c>
      <c r="E70" s="538">
        <f t="shared" si="12"/>
        <v>0</v>
      </c>
      <c r="F70" s="538">
        <f t="shared" si="12"/>
        <v>2.5076116759286879</v>
      </c>
      <c r="G70" s="538">
        <f t="shared" si="12"/>
        <v>2.6643097366819486</v>
      </c>
      <c r="H70" s="538">
        <f t="shared" si="12"/>
        <v>8.0233979706985465</v>
      </c>
      <c r="I70" s="538">
        <f t="shared" si="12"/>
        <v>7.2519257921128144</v>
      </c>
      <c r="J70" s="538">
        <f t="shared" si="12"/>
        <v>13.715827132294647</v>
      </c>
      <c r="K70" s="538">
        <f t="shared" si="12"/>
        <v>4.257472788405221</v>
      </c>
      <c r="L70" s="538">
        <f t="shared" si="12"/>
        <v>19.92741279611581</v>
      </c>
      <c r="M70" s="538">
        <f t="shared" si="12"/>
        <v>9.9753522540801214</v>
      </c>
      <c r="N70" s="538">
        <f t="shared" si="12"/>
        <v>4.9188113521724048</v>
      </c>
      <c r="O70" s="538">
        <f t="shared" si="12"/>
        <v>38.202924236506938</v>
      </c>
      <c r="P70" s="538"/>
      <c r="Q70" s="539">
        <f t="shared" ref="Q70" si="13">+Q71+Q72+Q73</f>
        <v>116.44094621995457</v>
      </c>
    </row>
    <row r="71" spans="1:17" x14ac:dyDescent="0.25">
      <c r="A71" s="31" t="s">
        <v>47</v>
      </c>
      <c r="B71" s="543">
        <f>+B9*(1+$B15*$E15)^$B$2*(1-B32)</f>
        <v>0</v>
      </c>
      <c r="C71" s="543">
        <f t="shared" ref="C71:N71" si="14">+C9*(1+$B15*$E15)^$B$2*(1-C32)</f>
        <v>3.8239843243228817</v>
      </c>
      <c r="D71" s="543">
        <f t="shared" si="14"/>
        <v>0</v>
      </c>
      <c r="E71" s="543">
        <f t="shared" si="14"/>
        <v>0</v>
      </c>
      <c r="F71" s="543">
        <f t="shared" si="14"/>
        <v>2.5076116759286879</v>
      </c>
      <c r="G71" s="543">
        <f t="shared" si="14"/>
        <v>1.0289020954541945</v>
      </c>
      <c r="H71" s="543">
        <f t="shared" si="14"/>
        <v>5.9795875693534084</v>
      </c>
      <c r="I71" s="543">
        <f t="shared" si="14"/>
        <v>1.2424000755423283</v>
      </c>
      <c r="J71" s="543">
        <f t="shared" si="14"/>
        <v>0</v>
      </c>
      <c r="K71" s="543">
        <f t="shared" si="14"/>
        <v>0</v>
      </c>
      <c r="L71" s="543">
        <f t="shared" si="14"/>
        <v>0</v>
      </c>
      <c r="M71" s="543">
        <f t="shared" si="14"/>
        <v>0.1964771187559021</v>
      </c>
      <c r="N71" s="543">
        <f t="shared" si="14"/>
        <v>0</v>
      </c>
      <c r="O71" s="543">
        <f>+O9*(1+$B15*$F15)^$B$2*(1-O32)</f>
        <v>5.8846398145565884</v>
      </c>
      <c r="P71" s="544"/>
      <c r="Q71" s="540">
        <f t="shared" ref="Q71:Q73" si="15">+SUM(B71:O71)</f>
        <v>20.663602673913992</v>
      </c>
    </row>
    <row r="72" spans="1:17" x14ac:dyDescent="0.25">
      <c r="A72" s="31" t="s">
        <v>48</v>
      </c>
      <c r="B72" s="543">
        <f t="shared" ref="B72:N73" si="16">+B10*(1+$B16*$E16)^$B$2*(1-B33)</f>
        <v>0</v>
      </c>
      <c r="C72" s="543">
        <f t="shared" si="16"/>
        <v>0.12477330894416949</v>
      </c>
      <c r="D72" s="543">
        <f t="shared" si="16"/>
        <v>0</v>
      </c>
      <c r="E72" s="543">
        <f t="shared" si="16"/>
        <v>0</v>
      </c>
      <c r="F72" s="543">
        <f t="shared" si="16"/>
        <v>0</v>
      </c>
      <c r="G72" s="543">
        <f t="shared" si="16"/>
        <v>0.86206040889619173</v>
      </c>
      <c r="H72" s="543">
        <f t="shared" si="16"/>
        <v>1.2704631690135748</v>
      </c>
      <c r="I72" s="543">
        <f t="shared" si="16"/>
        <v>6.0095257165704856</v>
      </c>
      <c r="J72" s="543">
        <f t="shared" si="16"/>
        <v>13.715827132294647</v>
      </c>
      <c r="K72" s="543">
        <f t="shared" si="16"/>
        <v>4.257472788405221</v>
      </c>
      <c r="L72" s="543">
        <f t="shared" si="16"/>
        <v>19.92741279611581</v>
      </c>
      <c r="M72" s="543">
        <f t="shared" si="16"/>
        <v>9.7788751353242187</v>
      </c>
      <c r="N72" s="543">
        <f t="shared" si="16"/>
        <v>4.9188113521724048</v>
      </c>
      <c r="O72" s="543">
        <f t="shared" ref="O72:O73" si="17">+O10*(1+$B16*$F16)^$B$2*(1-O33)</f>
        <v>30.674665985420514</v>
      </c>
      <c r="P72" s="544"/>
      <c r="Q72" s="540">
        <f t="shared" si="15"/>
        <v>91.539887793157249</v>
      </c>
    </row>
    <row r="73" spans="1:17" x14ac:dyDescent="0.25">
      <c r="A73" s="29" t="s">
        <v>49</v>
      </c>
      <c r="B73" s="543">
        <f t="shared" si="16"/>
        <v>0</v>
      </c>
      <c r="C73" s="543">
        <f t="shared" si="16"/>
        <v>1.0471428516903631</v>
      </c>
      <c r="D73" s="543">
        <f t="shared" si="16"/>
        <v>0</v>
      </c>
      <c r="E73" s="543">
        <f t="shared" si="16"/>
        <v>0</v>
      </c>
      <c r="F73" s="543">
        <f t="shared" si="16"/>
        <v>0</v>
      </c>
      <c r="G73" s="543">
        <f t="shared" si="16"/>
        <v>0.77334723233156233</v>
      </c>
      <c r="H73" s="543">
        <f t="shared" si="16"/>
        <v>0.77334723233156233</v>
      </c>
      <c r="I73" s="543">
        <f t="shared" si="16"/>
        <v>0</v>
      </c>
      <c r="J73" s="543">
        <f t="shared" si="16"/>
        <v>0</v>
      </c>
      <c r="K73" s="543">
        <f t="shared" si="16"/>
        <v>0</v>
      </c>
      <c r="L73" s="543">
        <f t="shared" si="16"/>
        <v>0</v>
      </c>
      <c r="M73" s="543">
        <f t="shared" si="16"/>
        <v>0</v>
      </c>
      <c r="N73" s="543">
        <f t="shared" si="16"/>
        <v>0</v>
      </c>
      <c r="O73" s="543">
        <f t="shared" si="17"/>
        <v>1.6436184365298316</v>
      </c>
      <c r="P73" s="546"/>
      <c r="Q73" s="541">
        <f t="shared" si="15"/>
        <v>4.237455752883319</v>
      </c>
    </row>
    <row r="74" spans="1:17" x14ac:dyDescent="0.25">
      <c r="A74" s="339" t="s">
        <v>94</v>
      </c>
      <c r="B74" s="538">
        <f>+B75+B76+B77</f>
        <v>0</v>
      </c>
      <c r="C74" s="538">
        <f t="shared" ref="C74:O74" si="18">+C75+C76+C77</f>
        <v>4.9959004849574145</v>
      </c>
      <c r="D74" s="538">
        <f t="shared" si="18"/>
        <v>0</v>
      </c>
      <c r="E74" s="538">
        <f t="shared" si="18"/>
        <v>0</v>
      </c>
      <c r="F74" s="538">
        <f t="shared" si="18"/>
        <v>2.5076116759286879</v>
      </c>
      <c r="G74" s="538">
        <f t="shared" si="18"/>
        <v>2.436608370522948</v>
      </c>
      <c r="H74" s="538">
        <f t="shared" si="18"/>
        <v>7.2113949233674433</v>
      </c>
      <c r="I74" s="538">
        <f t="shared" si="18"/>
        <v>6.700452505352902</v>
      </c>
      <c r="J74" s="538">
        <f t="shared" si="18"/>
        <v>12.775810309135387</v>
      </c>
      <c r="K74" s="538">
        <f t="shared" si="18"/>
        <v>3.965686080491666</v>
      </c>
      <c r="L74" s="538">
        <f t="shared" si="18"/>
        <v>18.561683767183808</v>
      </c>
      <c r="M74" s="538">
        <f t="shared" si="18"/>
        <v>9.1158432307564308</v>
      </c>
      <c r="N74" s="538">
        <f t="shared" si="18"/>
        <v>4.4949904550717594</v>
      </c>
      <c r="O74" s="538">
        <f t="shared" si="18"/>
        <v>35.584679552477645</v>
      </c>
      <c r="P74" s="538"/>
      <c r="Q74" s="539">
        <f t="shared" ref="Q74" si="19">+Q75+Q76+Q77</f>
        <v>108.35066135524607</v>
      </c>
    </row>
    <row r="75" spans="1:17" x14ac:dyDescent="0.25">
      <c r="A75" s="31" t="s">
        <v>47</v>
      </c>
      <c r="B75" s="543">
        <f t="shared" ref="B75:N75" si="20">+B9*(1+$B15*$E15)^$B$2*(1-B36)</f>
        <v>0</v>
      </c>
      <c r="C75" s="543">
        <f t="shared" si="20"/>
        <v>3.8239843243228817</v>
      </c>
      <c r="D75" s="543">
        <f t="shared" si="20"/>
        <v>0</v>
      </c>
      <c r="E75" s="543">
        <f t="shared" si="20"/>
        <v>0</v>
      </c>
      <c r="F75" s="543">
        <f t="shared" si="20"/>
        <v>2.5076116759286879</v>
      </c>
      <c r="G75" s="543">
        <f t="shared" si="20"/>
        <v>0.91328370326747521</v>
      </c>
      <c r="H75" s="543">
        <f t="shared" si="20"/>
        <v>5.3076574568939261</v>
      </c>
      <c r="I75" s="543">
        <f t="shared" si="20"/>
        <v>1.1027907776105821</v>
      </c>
      <c r="J75" s="543">
        <f t="shared" si="20"/>
        <v>0</v>
      </c>
      <c r="K75" s="543">
        <f t="shared" si="20"/>
        <v>0</v>
      </c>
      <c r="L75" s="543">
        <f t="shared" si="20"/>
        <v>0</v>
      </c>
      <c r="M75" s="543">
        <f t="shared" si="20"/>
        <v>0.17954800666582377</v>
      </c>
      <c r="N75" s="543">
        <f t="shared" si="20"/>
        <v>0</v>
      </c>
      <c r="O75" s="543">
        <f>+O9*(1+$B15*$F15)^$B$2*(1-O36)</f>
        <v>5.4813349047935169</v>
      </c>
      <c r="P75" s="544"/>
      <c r="Q75" s="540">
        <f t="shared" ref="Q75:Q77" si="21">+SUM(B75:O75)</f>
        <v>19.316210849482893</v>
      </c>
    </row>
    <row r="76" spans="1:17" x14ac:dyDescent="0.25">
      <c r="A76" s="31" t="s">
        <v>48</v>
      </c>
      <c r="B76" s="543">
        <f t="shared" ref="B76:N76" si="22">+B10*(1+$B16*$E16)^$B$2*(1-B37)</f>
        <v>0</v>
      </c>
      <c r="C76" s="543">
        <f t="shared" si="22"/>
        <v>0.12477330894416949</v>
      </c>
      <c r="D76" s="543">
        <f t="shared" si="22"/>
        <v>0</v>
      </c>
      <c r="E76" s="543">
        <f t="shared" si="22"/>
        <v>0</v>
      </c>
      <c r="F76" s="543">
        <f t="shared" si="22"/>
        <v>0</v>
      </c>
      <c r="G76" s="543">
        <f t="shared" si="22"/>
        <v>0.80297893468936432</v>
      </c>
      <c r="H76" s="543">
        <f t="shared" si="22"/>
        <v>1.1833917339074087</v>
      </c>
      <c r="I76" s="543">
        <f t="shared" si="22"/>
        <v>5.5976617277423202</v>
      </c>
      <c r="J76" s="543">
        <f t="shared" si="22"/>
        <v>12.775810309135387</v>
      </c>
      <c r="K76" s="543">
        <f t="shared" si="22"/>
        <v>3.965686080491666</v>
      </c>
      <c r="L76" s="543">
        <f t="shared" si="22"/>
        <v>18.561683767183808</v>
      </c>
      <c r="M76" s="543">
        <f t="shared" si="22"/>
        <v>8.9362952240906068</v>
      </c>
      <c r="N76" s="543">
        <f t="shared" si="22"/>
        <v>4.4949904550717594</v>
      </c>
      <c r="O76" s="543">
        <f>+O10*(1+$B16*$F16)^$B$2*(1-O37)</f>
        <v>28.572371913545435</v>
      </c>
      <c r="P76" s="544"/>
      <c r="Q76" s="540">
        <f t="shared" si="21"/>
        <v>85.015643454801918</v>
      </c>
    </row>
    <row r="77" spans="1:17" ht="15.75" thickBot="1" x14ac:dyDescent="0.3">
      <c r="A77" s="134" t="s">
        <v>49</v>
      </c>
      <c r="B77" s="547">
        <f t="shared" ref="B77:N77" si="23">+B11*(1+$B17*$E17)^$B$2*(1-B38)</f>
        <v>0</v>
      </c>
      <c r="C77" s="547">
        <f t="shared" si="23"/>
        <v>1.0471428516903631</v>
      </c>
      <c r="D77" s="547">
        <f t="shared" si="23"/>
        <v>0</v>
      </c>
      <c r="E77" s="547">
        <f t="shared" si="23"/>
        <v>0</v>
      </c>
      <c r="F77" s="547">
        <f t="shared" si="23"/>
        <v>0</v>
      </c>
      <c r="G77" s="547">
        <f t="shared" si="23"/>
        <v>0.72034573256610845</v>
      </c>
      <c r="H77" s="547">
        <f t="shared" si="23"/>
        <v>0.72034573256610845</v>
      </c>
      <c r="I77" s="547">
        <f t="shared" si="23"/>
        <v>0</v>
      </c>
      <c r="J77" s="547">
        <f t="shared" si="23"/>
        <v>0</v>
      </c>
      <c r="K77" s="547">
        <f t="shared" si="23"/>
        <v>0</v>
      </c>
      <c r="L77" s="547">
        <f t="shared" si="23"/>
        <v>0</v>
      </c>
      <c r="M77" s="547">
        <f t="shared" si="23"/>
        <v>0</v>
      </c>
      <c r="N77" s="547">
        <f t="shared" si="23"/>
        <v>0</v>
      </c>
      <c r="O77" s="547">
        <f>+O11*(1+$B17*$F17)^$B$2*(1-O38)</f>
        <v>1.5309727341386934</v>
      </c>
      <c r="P77" s="548"/>
      <c r="Q77" s="542">
        <f t="shared" si="21"/>
        <v>4.0188070509612732</v>
      </c>
    </row>
    <row r="78" spans="1:17" ht="15.75" thickBot="1" x14ac:dyDescent="0.3">
      <c r="N78" s="18"/>
      <c r="O78" s="18"/>
    </row>
    <row r="79" spans="1:17" ht="18.75" x14ac:dyDescent="0.3">
      <c r="A79" s="657" t="s">
        <v>95</v>
      </c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40"/>
    </row>
    <row r="80" spans="1:17" x14ac:dyDescent="0.25">
      <c r="A80" s="339" t="s">
        <v>176</v>
      </c>
      <c r="B80" s="538">
        <f>+B81+B82+B83</f>
        <v>0</v>
      </c>
      <c r="C80" s="538">
        <f t="shared" ref="C80:Q80" si="24">+C81+C82+C83</f>
        <v>5.8252551054505286</v>
      </c>
      <c r="D80" s="538">
        <f t="shared" si="24"/>
        <v>0</v>
      </c>
      <c r="E80" s="538">
        <f t="shared" si="24"/>
        <v>0</v>
      </c>
      <c r="F80" s="538">
        <f t="shared" si="24"/>
        <v>2.9288821531733467</v>
      </c>
      <c r="G80" s="538">
        <f t="shared" si="24"/>
        <v>3.6090131894236617</v>
      </c>
      <c r="H80" s="538">
        <f t="shared" si="24"/>
        <v>10.75011649955789</v>
      </c>
      <c r="I80" s="538">
        <f t="shared" si="24"/>
        <v>9.8364764867646635</v>
      </c>
      <c r="J80" s="538">
        <f t="shared" si="24"/>
        <v>18.678630347076709</v>
      </c>
      <c r="K80" s="538">
        <f t="shared" si="24"/>
        <v>5.7979558695454916</v>
      </c>
      <c r="L80" s="538">
        <f t="shared" si="24"/>
        <v>27.137756534992285</v>
      </c>
      <c r="M80" s="538">
        <f t="shared" si="24"/>
        <v>13.591410491070278</v>
      </c>
      <c r="N80" s="538">
        <f t="shared" si="24"/>
        <v>6.6985868302396741</v>
      </c>
      <c r="O80" s="538">
        <f t="shared" si="24"/>
        <v>55.057639511899723</v>
      </c>
      <c r="P80" s="538"/>
      <c r="Q80" s="539">
        <f t="shared" si="24"/>
        <v>159.91172301919426</v>
      </c>
    </row>
    <row r="81" spans="1:17" x14ac:dyDescent="0.25">
      <c r="A81" s="31" t="s">
        <v>47</v>
      </c>
      <c r="B81" s="543">
        <f>+B9*(1+$C15*$E15)^$C$2*(1-B45)</f>
        <v>0</v>
      </c>
      <c r="C81" s="543">
        <f t="shared" ref="C81:N81" si="25">+C9*(1+$C15*$E15)^$C$2*(1-C45)</f>
        <v>4.4664010576422424</v>
      </c>
      <c r="D81" s="543">
        <f t="shared" si="25"/>
        <v>0</v>
      </c>
      <c r="E81" s="543">
        <f t="shared" si="25"/>
        <v>0</v>
      </c>
      <c r="F81" s="543">
        <f t="shared" si="25"/>
        <v>2.9288821531733467</v>
      </c>
      <c r="G81" s="543">
        <f t="shared" si="25"/>
        <v>1.3685470971334333</v>
      </c>
      <c r="H81" s="543">
        <f t="shared" si="25"/>
        <v>7.9534751131800769</v>
      </c>
      <c r="I81" s="543">
        <f t="shared" si="25"/>
        <v>1.6525216775958116</v>
      </c>
      <c r="J81" s="543">
        <f t="shared" si="25"/>
        <v>0</v>
      </c>
      <c r="K81" s="543">
        <f t="shared" si="25"/>
        <v>0</v>
      </c>
      <c r="L81" s="543">
        <f t="shared" si="25"/>
        <v>0</v>
      </c>
      <c r="M81" s="543">
        <f t="shared" si="25"/>
        <v>0.27424105599716003</v>
      </c>
      <c r="N81" s="543">
        <f t="shared" si="25"/>
        <v>0</v>
      </c>
      <c r="O81" s="543">
        <f>+O9*(1+$C15*$F15)^$C$2*(1-O45)</f>
        <v>8.5240386021329559</v>
      </c>
      <c r="P81" s="543"/>
      <c r="Q81" s="540">
        <f t="shared" ref="Q81:Q83" si="26">+SUM(B81:O81)</f>
        <v>27.168106756855025</v>
      </c>
    </row>
    <row r="82" spans="1:17" x14ac:dyDescent="0.25">
      <c r="A82" s="31" t="s">
        <v>48</v>
      </c>
      <c r="B82" s="543">
        <f t="shared" ref="B82:N83" si="27">+B10*(1+$C16*$E16)^$C$2*(1-B46)</f>
        <v>0</v>
      </c>
      <c r="C82" s="543">
        <f t="shared" si="27"/>
        <v>0.1430599838721138</v>
      </c>
      <c r="D82" s="543">
        <f t="shared" si="27"/>
        <v>0</v>
      </c>
      <c r="E82" s="543">
        <f t="shared" si="27"/>
        <v>0</v>
      </c>
      <c r="F82" s="543">
        <f t="shared" si="27"/>
        <v>0</v>
      </c>
      <c r="G82" s="543">
        <f t="shared" si="27"/>
        <v>1.1739800712935855</v>
      </c>
      <c r="H82" s="543">
        <f t="shared" si="27"/>
        <v>1.7301553653811697</v>
      </c>
      <c r="I82" s="543">
        <f t="shared" si="27"/>
        <v>8.183954809168851</v>
      </c>
      <c r="J82" s="543">
        <f t="shared" si="27"/>
        <v>18.678630347076709</v>
      </c>
      <c r="K82" s="543">
        <f t="shared" si="27"/>
        <v>5.7979558695454916</v>
      </c>
      <c r="L82" s="543">
        <f t="shared" si="27"/>
        <v>27.137756534992285</v>
      </c>
      <c r="M82" s="543">
        <f t="shared" si="27"/>
        <v>13.317169435073117</v>
      </c>
      <c r="N82" s="543">
        <f t="shared" si="27"/>
        <v>6.6985868302396741</v>
      </c>
      <c r="O82" s="543">
        <f t="shared" ref="O82:O83" si="28">+O10*(1+$C16*$F16)^$C$2*(1-O46)</f>
        <v>44.051580931467235</v>
      </c>
      <c r="P82" s="543"/>
      <c r="Q82" s="540">
        <f t="shared" si="26"/>
        <v>126.91283017811023</v>
      </c>
    </row>
    <row r="83" spans="1:17" x14ac:dyDescent="0.25">
      <c r="A83" s="29" t="s">
        <v>49</v>
      </c>
      <c r="B83" s="545">
        <f t="shared" si="27"/>
        <v>0</v>
      </c>
      <c r="C83" s="545">
        <f t="shared" si="27"/>
        <v>1.2157940639361728</v>
      </c>
      <c r="D83" s="545">
        <f t="shared" si="27"/>
        <v>0</v>
      </c>
      <c r="E83" s="545">
        <f t="shared" si="27"/>
        <v>0</v>
      </c>
      <c r="F83" s="545">
        <f t="shared" si="27"/>
        <v>0</v>
      </c>
      <c r="G83" s="545">
        <f t="shared" si="27"/>
        <v>1.0664860209966429</v>
      </c>
      <c r="H83" s="545">
        <f t="shared" si="27"/>
        <v>1.0664860209966429</v>
      </c>
      <c r="I83" s="545">
        <f t="shared" si="27"/>
        <v>0</v>
      </c>
      <c r="J83" s="545">
        <f t="shared" si="27"/>
        <v>0</v>
      </c>
      <c r="K83" s="545">
        <f t="shared" si="27"/>
        <v>0</v>
      </c>
      <c r="L83" s="545">
        <f t="shared" si="27"/>
        <v>0</v>
      </c>
      <c r="M83" s="545">
        <f t="shared" si="27"/>
        <v>0</v>
      </c>
      <c r="N83" s="545">
        <f t="shared" si="27"/>
        <v>0</v>
      </c>
      <c r="O83" s="545">
        <f t="shared" si="28"/>
        <v>2.4820199782995358</v>
      </c>
      <c r="P83" s="545"/>
      <c r="Q83" s="541">
        <f t="shared" si="26"/>
        <v>5.8307860842289942</v>
      </c>
    </row>
    <row r="84" spans="1:17" x14ac:dyDescent="0.25">
      <c r="A84" s="339" t="s">
        <v>92</v>
      </c>
      <c r="B84" s="538">
        <f>+B85+B86+B87</f>
        <v>0</v>
      </c>
      <c r="C84" s="538">
        <f t="shared" ref="C84:Q84" si="29">+C85+C86+C87</f>
        <v>5.7547492647383951</v>
      </c>
      <c r="D84" s="538">
        <f t="shared" si="29"/>
        <v>0</v>
      </c>
      <c r="E84" s="538">
        <f t="shared" si="29"/>
        <v>0</v>
      </c>
      <c r="F84" s="538">
        <f t="shared" si="29"/>
        <v>2.9001894891472801</v>
      </c>
      <c r="G84" s="538">
        <f t="shared" si="29"/>
        <v>3.0170339602342406</v>
      </c>
      <c r="H84" s="538">
        <f t="shared" si="29"/>
        <v>9.5050826212557649</v>
      </c>
      <c r="I84" s="538">
        <f t="shared" si="29"/>
        <v>7.945294737266611</v>
      </c>
      <c r="J84" s="538">
        <f t="shared" si="29"/>
        <v>14.667943009398664</v>
      </c>
      <c r="K84" s="538">
        <f t="shared" si="29"/>
        <v>4.5530151132741663</v>
      </c>
      <c r="L84" s="538">
        <f t="shared" si="29"/>
        <v>21.310720264909595</v>
      </c>
      <c r="M84" s="538">
        <f t="shared" si="29"/>
        <v>10.679457140850582</v>
      </c>
      <c r="N84" s="538">
        <f t="shared" si="29"/>
        <v>5.2602620237003217</v>
      </c>
      <c r="O84" s="538">
        <f t="shared" si="29"/>
        <v>42.522742604208609</v>
      </c>
      <c r="P84" s="538"/>
      <c r="Q84" s="539">
        <f t="shared" si="29"/>
        <v>128.11649022898425</v>
      </c>
    </row>
    <row r="85" spans="1:17" x14ac:dyDescent="0.25">
      <c r="A85" s="31" t="s">
        <v>47</v>
      </c>
      <c r="B85" s="543">
        <f>+B9*(1+$C15*$E15)^$C$2*(1-B49)</f>
        <v>0</v>
      </c>
      <c r="C85" s="543">
        <f t="shared" ref="C85:N85" si="30">+C9*(1+$C15*$E15)^$C$2*(1-C49)</f>
        <v>4.4226461579055805</v>
      </c>
      <c r="D85" s="543">
        <f t="shared" si="30"/>
        <v>0</v>
      </c>
      <c r="E85" s="543">
        <f t="shared" si="30"/>
        <v>0</v>
      </c>
      <c r="F85" s="543">
        <f t="shared" si="30"/>
        <v>2.9001894891472801</v>
      </c>
      <c r="G85" s="543">
        <f t="shared" si="30"/>
        <v>1.2576421662129831</v>
      </c>
      <c r="H85" s="543">
        <f t="shared" si="30"/>
        <v>7.308937844530452</v>
      </c>
      <c r="I85" s="543">
        <f t="shared" si="30"/>
        <v>1.5186038877863164</v>
      </c>
      <c r="J85" s="543">
        <f t="shared" si="30"/>
        <v>0</v>
      </c>
      <c r="K85" s="543">
        <f t="shared" si="30"/>
        <v>0</v>
      </c>
      <c r="L85" s="543">
        <f t="shared" si="30"/>
        <v>0</v>
      </c>
      <c r="M85" s="543">
        <f t="shared" si="30"/>
        <v>0.22175876090865149</v>
      </c>
      <c r="N85" s="543">
        <f t="shared" si="30"/>
        <v>0</v>
      </c>
      <c r="O85" s="543">
        <f>+O9*(1+$C15*$F15)^$C$2*(1-O49)</f>
        <v>7.0880572764549923</v>
      </c>
      <c r="P85" s="543"/>
      <c r="Q85" s="540">
        <f t="shared" ref="Q85:Q87" si="31">+SUM(B85:O85)</f>
        <v>24.717835582946257</v>
      </c>
    </row>
    <row r="86" spans="1:17" x14ac:dyDescent="0.25">
      <c r="A86" s="31" t="s">
        <v>48</v>
      </c>
      <c r="B86" s="543">
        <f t="shared" ref="B86:N87" si="32">+B10*(1+$C16*$E16)^$C$2*(1-B50)</f>
        <v>0</v>
      </c>
      <c r="C86" s="543">
        <f t="shared" si="32"/>
        <v>0.14024364815843837</v>
      </c>
      <c r="D86" s="543">
        <f t="shared" si="32"/>
        <v>0</v>
      </c>
      <c r="E86" s="543">
        <f t="shared" si="32"/>
        <v>0</v>
      </c>
      <c r="F86" s="543">
        <f t="shared" si="32"/>
        <v>0</v>
      </c>
      <c r="G86" s="543">
        <f t="shared" si="32"/>
        <v>0.92190232688014417</v>
      </c>
      <c r="H86" s="543">
        <f t="shared" si="32"/>
        <v>1.3586553095841989</v>
      </c>
      <c r="I86" s="543">
        <f t="shared" si="32"/>
        <v>6.4266908494802948</v>
      </c>
      <c r="J86" s="543">
        <f t="shared" si="32"/>
        <v>14.667943009398664</v>
      </c>
      <c r="K86" s="543">
        <f t="shared" si="32"/>
        <v>4.5530151132741663</v>
      </c>
      <c r="L86" s="543">
        <f t="shared" si="32"/>
        <v>21.310720264909595</v>
      </c>
      <c r="M86" s="543">
        <f t="shared" si="32"/>
        <v>10.457698379941931</v>
      </c>
      <c r="N86" s="543">
        <f t="shared" si="32"/>
        <v>5.2602620237003217</v>
      </c>
      <c r="O86" s="543">
        <f t="shared" ref="O86:O87" si="33">+O10*(1+$C16*$F16)^$C$2*(1-O50)</f>
        <v>33.544661878272784</v>
      </c>
      <c r="P86" s="543"/>
      <c r="Q86" s="540">
        <f t="shared" si="31"/>
        <v>98.641792803600538</v>
      </c>
    </row>
    <row r="87" spans="1:17" x14ac:dyDescent="0.25">
      <c r="A87" s="29" t="s">
        <v>49</v>
      </c>
      <c r="B87" s="545">
        <f t="shared" si="32"/>
        <v>0</v>
      </c>
      <c r="C87" s="545">
        <f t="shared" si="32"/>
        <v>1.1918594586743763</v>
      </c>
      <c r="D87" s="545">
        <f t="shared" si="32"/>
        <v>0</v>
      </c>
      <c r="E87" s="545">
        <f t="shared" si="32"/>
        <v>0</v>
      </c>
      <c r="F87" s="545">
        <f t="shared" si="32"/>
        <v>0</v>
      </c>
      <c r="G87" s="545">
        <f t="shared" si="32"/>
        <v>0.8374894671411135</v>
      </c>
      <c r="H87" s="545">
        <f t="shared" si="32"/>
        <v>0.8374894671411135</v>
      </c>
      <c r="I87" s="545">
        <f t="shared" si="32"/>
        <v>0</v>
      </c>
      <c r="J87" s="545">
        <f t="shared" si="32"/>
        <v>0</v>
      </c>
      <c r="K87" s="545">
        <f t="shared" si="32"/>
        <v>0</v>
      </c>
      <c r="L87" s="545">
        <f t="shared" si="32"/>
        <v>0</v>
      </c>
      <c r="M87" s="545">
        <f t="shared" si="32"/>
        <v>0</v>
      </c>
      <c r="N87" s="545">
        <f t="shared" si="32"/>
        <v>0</v>
      </c>
      <c r="O87" s="545">
        <f t="shared" si="33"/>
        <v>1.890023449480835</v>
      </c>
      <c r="P87" s="545"/>
      <c r="Q87" s="541">
        <f t="shared" si="31"/>
        <v>4.7568618424374378</v>
      </c>
    </row>
    <row r="88" spans="1:17" x14ac:dyDescent="0.25">
      <c r="A88" s="339" t="s">
        <v>93</v>
      </c>
      <c r="B88" s="538">
        <f>+B89+B90+B91</f>
        <v>0</v>
      </c>
      <c r="C88" s="538">
        <f t="shared" ref="C88:Q88" si="34">+C89+C90+C91</f>
        <v>5.7547492647383951</v>
      </c>
      <c r="D88" s="538">
        <f t="shared" si="34"/>
        <v>0</v>
      </c>
      <c r="E88" s="538">
        <f t="shared" si="34"/>
        <v>0</v>
      </c>
      <c r="F88" s="538">
        <f t="shared" si="34"/>
        <v>2.9001894891472801</v>
      </c>
      <c r="G88" s="538">
        <f t="shared" si="34"/>
        <v>2.6710892981800609</v>
      </c>
      <c r="H88" s="538">
        <f t="shared" si="34"/>
        <v>8.2383885346564547</v>
      </c>
      <c r="I88" s="538">
        <f t="shared" si="34"/>
        <v>7.1289979059701745</v>
      </c>
      <c r="J88" s="538">
        <f t="shared" si="34"/>
        <v>13.309069439129932</v>
      </c>
      <c r="K88" s="538">
        <f t="shared" si="34"/>
        <v>4.131212826580116</v>
      </c>
      <c r="L88" s="538">
        <f t="shared" si="34"/>
        <v>19.336443809593376</v>
      </c>
      <c r="M88" s="538">
        <f t="shared" si="34"/>
        <v>9.6842767719145595</v>
      </c>
      <c r="N88" s="538">
        <f t="shared" si="34"/>
        <v>4.7729386797171545</v>
      </c>
      <c r="O88" s="538">
        <f t="shared" si="34"/>
        <v>39.230175542990949</v>
      </c>
      <c r="P88" s="538"/>
      <c r="Q88" s="539">
        <f t="shared" si="34"/>
        <v>117.15753156261844</v>
      </c>
    </row>
    <row r="89" spans="1:17" x14ac:dyDescent="0.25">
      <c r="A89" s="31" t="s">
        <v>47</v>
      </c>
      <c r="B89" s="543">
        <f>+B9*(1+$C15*$E15)^$C$2*(1-B53)</f>
        <v>0</v>
      </c>
      <c r="C89" s="543">
        <f t="shared" ref="C89:N89" si="35">+C9*(1+$C15*$E15)^$C$2*(1-C53)</f>
        <v>4.4226461579055805</v>
      </c>
      <c r="D89" s="543">
        <f t="shared" si="35"/>
        <v>0</v>
      </c>
      <c r="E89" s="543">
        <f t="shared" si="35"/>
        <v>0</v>
      </c>
      <c r="F89" s="543">
        <f t="shared" si="35"/>
        <v>2.9001894891472801</v>
      </c>
      <c r="G89" s="543">
        <f t="shared" si="35"/>
        <v>1.0746917977084338</v>
      </c>
      <c r="H89" s="543">
        <f t="shared" si="35"/>
        <v>6.2456998997816751</v>
      </c>
      <c r="I89" s="543">
        <f t="shared" si="35"/>
        <v>1.2976911764070949</v>
      </c>
      <c r="J89" s="543">
        <f t="shared" si="35"/>
        <v>0</v>
      </c>
      <c r="K89" s="543">
        <f t="shared" si="35"/>
        <v>0</v>
      </c>
      <c r="L89" s="543">
        <f t="shared" si="35"/>
        <v>0</v>
      </c>
      <c r="M89" s="543">
        <f t="shared" si="35"/>
        <v>0.19540475878081434</v>
      </c>
      <c r="N89" s="543">
        <f t="shared" si="35"/>
        <v>0</v>
      </c>
      <c r="O89" s="543">
        <f>+O9*(1+$C15*$F15)^$C$2*(1-O53)</f>
        <v>6.0736263606911907</v>
      </c>
      <c r="P89" s="544"/>
      <c r="Q89" s="540">
        <f t="shared" ref="Q89:Q91" si="36">+SUM(B89:O89)</f>
        <v>22.209949640422071</v>
      </c>
    </row>
    <row r="90" spans="1:17" x14ac:dyDescent="0.25">
      <c r="A90" s="31" t="s">
        <v>48</v>
      </c>
      <c r="B90" s="543">
        <f t="shared" ref="B90:N91" si="37">+B10*(1+$C16*$E16)^$C$2*(1-B54)</f>
        <v>0</v>
      </c>
      <c r="C90" s="543">
        <f t="shared" si="37"/>
        <v>0.14024364815843837</v>
      </c>
      <c r="D90" s="543">
        <f t="shared" si="37"/>
        <v>0</v>
      </c>
      <c r="E90" s="543">
        <f t="shared" si="37"/>
        <v>0</v>
      </c>
      <c r="F90" s="543">
        <f t="shared" si="37"/>
        <v>0</v>
      </c>
      <c r="G90" s="543">
        <f t="shared" si="37"/>
        <v>0.83649507478188068</v>
      </c>
      <c r="H90" s="543">
        <f t="shared" si="37"/>
        <v>1.2327862091850326</v>
      </c>
      <c r="I90" s="543">
        <f t="shared" si="37"/>
        <v>5.8313067295630798</v>
      </c>
      <c r="J90" s="543">
        <f t="shared" si="37"/>
        <v>13.309069439129932</v>
      </c>
      <c r="K90" s="543">
        <f t="shared" si="37"/>
        <v>4.131212826580116</v>
      </c>
      <c r="L90" s="543">
        <f t="shared" si="37"/>
        <v>19.336443809593376</v>
      </c>
      <c r="M90" s="543">
        <f t="shared" si="37"/>
        <v>9.4888720131337454</v>
      </c>
      <c r="N90" s="543">
        <f t="shared" si="37"/>
        <v>4.7729386797171545</v>
      </c>
      <c r="O90" s="543">
        <f t="shared" ref="O90:O91" si="38">+O10*(1+$C16*$F16)^$C$2*(1-O54)</f>
        <v>31.388037485955483</v>
      </c>
      <c r="P90" s="544"/>
      <c r="Q90" s="540">
        <f t="shared" si="36"/>
        <v>90.467405915798238</v>
      </c>
    </row>
    <row r="91" spans="1:17" x14ac:dyDescent="0.25">
      <c r="A91" s="29" t="s">
        <v>49</v>
      </c>
      <c r="B91" s="545">
        <f t="shared" si="37"/>
        <v>0</v>
      </c>
      <c r="C91" s="545">
        <f t="shared" si="37"/>
        <v>1.1918594586743763</v>
      </c>
      <c r="D91" s="545">
        <f t="shared" si="37"/>
        <v>0</v>
      </c>
      <c r="E91" s="545">
        <f t="shared" si="37"/>
        <v>0</v>
      </c>
      <c r="F91" s="545">
        <f t="shared" si="37"/>
        <v>0</v>
      </c>
      <c r="G91" s="545">
        <f t="shared" si="37"/>
        <v>0.75990242568974653</v>
      </c>
      <c r="H91" s="545">
        <f t="shared" si="37"/>
        <v>0.75990242568974653</v>
      </c>
      <c r="I91" s="545">
        <f t="shared" si="37"/>
        <v>0</v>
      </c>
      <c r="J91" s="545">
        <f t="shared" si="37"/>
        <v>0</v>
      </c>
      <c r="K91" s="545">
        <f t="shared" si="37"/>
        <v>0</v>
      </c>
      <c r="L91" s="545">
        <f t="shared" si="37"/>
        <v>0</v>
      </c>
      <c r="M91" s="545">
        <f t="shared" si="37"/>
        <v>0</v>
      </c>
      <c r="N91" s="545">
        <f t="shared" si="37"/>
        <v>0</v>
      </c>
      <c r="O91" s="545">
        <f t="shared" si="38"/>
        <v>1.7685116963442751</v>
      </c>
      <c r="P91" s="546"/>
      <c r="Q91" s="541">
        <f t="shared" si="36"/>
        <v>4.4801760063981444</v>
      </c>
    </row>
    <row r="92" spans="1:17" x14ac:dyDescent="0.25">
      <c r="A92" s="339" t="s">
        <v>94</v>
      </c>
      <c r="B92" s="538">
        <f>+B93+B94+B95</f>
        <v>0</v>
      </c>
      <c r="C92" s="538">
        <f t="shared" ref="C92:Q92" si="39">+C93+C94+C95</f>
        <v>5.7547492647383951</v>
      </c>
      <c r="D92" s="538">
        <f t="shared" si="39"/>
        <v>0</v>
      </c>
      <c r="E92" s="538">
        <f t="shared" si="39"/>
        <v>0</v>
      </c>
      <c r="F92" s="538">
        <f t="shared" si="39"/>
        <v>2.9001894891472801</v>
      </c>
      <c r="G92" s="538">
        <f t="shared" si="39"/>
        <v>2.1975067587854569</v>
      </c>
      <c r="H92" s="538">
        <f t="shared" si="39"/>
        <v>6.5456822753485273</v>
      </c>
      <c r="I92" s="538">
        <f t="shared" si="39"/>
        <v>5.9893722820534983</v>
      </c>
      <c r="J92" s="538">
        <f t="shared" si="39"/>
        <v>11.373307405150017</v>
      </c>
      <c r="K92" s="538">
        <f t="shared" si="39"/>
        <v>3.5303409939880819</v>
      </c>
      <c r="L92" s="538">
        <f t="shared" si="39"/>
        <v>16.524019246780078</v>
      </c>
      <c r="M92" s="538">
        <f t="shared" si="39"/>
        <v>7.9066836135360878</v>
      </c>
      <c r="N92" s="538">
        <f t="shared" si="39"/>
        <v>3.8968440221345984</v>
      </c>
      <c r="O92" s="538">
        <f t="shared" si="39"/>
        <v>33.524270652359178</v>
      </c>
      <c r="P92" s="538"/>
      <c r="Q92" s="539">
        <f t="shared" si="39"/>
        <v>100.1429660040212</v>
      </c>
    </row>
    <row r="93" spans="1:17" x14ac:dyDescent="0.25">
      <c r="A93" s="31" t="s">
        <v>47</v>
      </c>
      <c r="B93" s="543">
        <f>+B9*(1+$C15*$E15)^$C$2*(1-B57)</f>
        <v>0</v>
      </c>
      <c r="C93" s="543">
        <f t="shared" ref="C93:N93" si="40">+C9*(1+$C15*$E15)^$C$2*(1-C57)</f>
        <v>4.4226461579055805</v>
      </c>
      <c r="D93" s="543">
        <f t="shared" si="40"/>
        <v>0</v>
      </c>
      <c r="E93" s="543">
        <f t="shared" si="40"/>
        <v>0</v>
      </c>
      <c r="F93" s="543">
        <f t="shared" si="40"/>
        <v>2.9001894891472801</v>
      </c>
      <c r="G93" s="543">
        <f t="shared" si="40"/>
        <v>0.83330022303055074</v>
      </c>
      <c r="H93" s="543">
        <f t="shared" si="40"/>
        <v>4.8428238966442372</v>
      </c>
      <c r="I93" s="543">
        <f t="shared" si="40"/>
        <v>1.0062106634019243</v>
      </c>
      <c r="J93" s="543">
        <f t="shared" si="40"/>
        <v>0</v>
      </c>
      <c r="K93" s="543">
        <f t="shared" si="40"/>
        <v>0</v>
      </c>
      <c r="L93" s="543">
        <f t="shared" si="40"/>
        <v>0</v>
      </c>
      <c r="M93" s="543">
        <f t="shared" si="40"/>
        <v>0.15953732432967144</v>
      </c>
      <c r="N93" s="543">
        <f t="shared" si="40"/>
        <v>0</v>
      </c>
      <c r="O93" s="543">
        <f>+O9*(1+$C15*$F15)^$C$2*(1-O57)</f>
        <v>5.1902366262414912</v>
      </c>
      <c r="P93" s="544"/>
      <c r="Q93" s="540">
        <f t="shared" ref="Q93:Q95" si="41">+SUM(B93:O93)</f>
        <v>19.354944380700736</v>
      </c>
    </row>
    <row r="94" spans="1:17" x14ac:dyDescent="0.25">
      <c r="A94" s="31" t="s">
        <v>48</v>
      </c>
      <c r="B94" s="543">
        <f t="shared" ref="B94:N95" si="42">+B10*(1+$C16*$E16)^$C$2*(1-B58)</f>
        <v>0</v>
      </c>
      <c r="C94" s="543">
        <f t="shared" si="42"/>
        <v>0.14024364815843837</v>
      </c>
      <c r="D94" s="543">
        <f t="shared" si="42"/>
        <v>0</v>
      </c>
      <c r="E94" s="543">
        <f t="shared" si="42"/>
        <v>0</v>
      </c>
      <c r="F94" s="543">
        <f t="shared" si="42"/>
        <v>0</v>
      </c>
      <c r="G94" s="543">
        <f t="shared" si="42"/>
        <v>0.71482951320526211</v>
      </c>
      <c r="H94" s="543">
        <f t="shared" si="42"/>
        <v>1.0534813561546457</v>
      </c>
      <c r="I94" s="543">
        <f t="shared" si="42"/>
        <v>4.9831616186515744</v>
      </c>
      <c r="J94" s="543">
        <f t="shared" si="42"/>
        <v>11.373307405150017</v>
      </c>
      <c r="K94" s="543">
        <f t="shared" si="42"/>
        <v>3.5303409939880819</v>
      </c>
      <c r="L94" s="543">
        <f t="shared" si="42"/>
        <v>16.524019246780078</v>
      </c>
      <c r="M94" s="543">
        <f t="shared" si="42"/>
        <v>7.747146289206416</v>
      </c>
      <c r="N94" s="543">
        <f t="shared" si="42"/>
        <v>3.8968440221345984</v>
      </c>
      <c r="O94" s="543">
        <f t="shared" ref="O94:O95" si="43">+O10*(1+$C16*$F16)^$C$2*(1-O58)</f>
        <v>26.822746759632313</v>
      </c>
      <c r="P94" s="544"/>
      <c r="Q94" s="540">
        <f t="shared" si="41"/>
        <v>76.786120853061419</v>
      </c>
    </row>
    <row r="95" spans="1:17" ht="15.75" thickBot="1" x14ac:dyDescent="0.3">
      <c r="A95" s="134" t="s">
        <v>49</v>
      </c>
      <c r="B95" s="547">
        <f t="shared" si="42"/>
        <v>0</v>
      </c>
      <c r="C95" s="547">
        <f t="shared" si="42"/>
        <v>1.1918594586743763</v>
      </c>
      <c r="D95" s="547">
        <f t="shared" si="42"/>
        <v>0</v>
      </c>
      <c r="E95" s="547">
        <f t="shared" si="42"/>
        <v>0</v>
      </c>
      <c r="F95" s="547">
        <f t="shared" si="42"/>
        <v>0</v>
      </c>
      <c r="G95" s="547">
        <f t="shared" si="42"/>
        <v>0.64937702254964391</v>
      </c>
      <c r="H95" s="547">
        <f t="shared" si="42"/>
        <v>0.64937702254964391</v>
      </c>
      <c r="I95" s="547">
        <f t="shared" si="42"/>
        <v>0</v>
      </c>
      <c r="J95" s="547">
        <f t="shared" si="42"/>
        <v>0</v>
      </c>
      <c r="K95" s="547">
        <f t="shared" si="42"/>
        <v>0</v>
      </c>
      <c r="L95" s="547">
        <f t="shared" si="42"/>
        <v>0</v>
      </c>
      <c r="M95" s="547">
        <f t="shared" si="42"/>
        <v>0</v>
      </c>
      <c r="N95" s="547">
        <f t="shared" si="42"/>
        <v>0</v>
      </c>
      <c r="O95" s="547">
        <f t="shared" si="43"/>
        <v>1.5112872664853785</v>
      </c>
      <c r="P95" s="548"/>
      <c r="Q95" s="542">
        <f t="shared" si="41"/>
        <v>4.0019007702590423</v>
      </c>
    </row>
    <row r="96" spans="1:17" x14ac:dyDescent="0.25">
      <c r="N96" s="18"/>
      <c r="O96" s="18"/>
    </row>
  </sheetData>
  <mergeCells count="4">
    <mergeCell ref="G6:L6"/>
    <mergeCell ref="G41:L41"/>
    <mergeCell ref="G20:L20"/>
    <mergeCell ref="B13:C13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9"/>
  <sheetViews>
    <sheetView topLeftCell="A2" workbookViewId="0">
      <selection activeCell="L32" sqref="L32"/>
    </sheetView>
  </sheetViews>
  <sheetFormatPr defaultRowHeight="15" x14ac:dyDescent="0.25"/>
  <cols>
    <col min="1" max="1" width="17.7109375" customWidth="1"/>
    <col min="2" max="2" width="10.140625" bestFit="1" customWidth="1"/>
    <col min="3" max="13" width="9.140625" customWidth="1"/>
    <col min="16" max="17" width="9.140625" customWidth="1"/>
  </cols>
  <sheetData>
    <row r="1" spans="1:21" ht="18.75" x14ac:dyDescent="0.3">
      <c r="A1" s="6" t="s">
        <v>35</v>
      </c>
      <c r="B1">
        <f>+'Øvr forudsæt'!C63</f>
        <v>2035</v>
      </c>
      <c r="C1">
        <f>+'Øvr forudsæt'!D63</f>
        <v>2050</v>
      </c>
    </row>
    <row r="2" spans="1:21" ht="12.75" customHeight="1" x14ac:dyDescent="0.3">
      <c r="A2" s="6"/>
      <c r="B2">
        <f>+'Øvr forudsæt'!C65</f>
        <v>24</v>
      </c>
      <c r="C2">
        <f>+'Øvr forudsæt'!D65</f>
        <v>39</v>
      </c>
      <c r="D2">
        <f>+C2-B2</f>
        <v>15</v>
      </c>
    </row>
    <row r="3" spans="1:21" x14ac:dyDescent="0.25">
      <c r="A3" t="s">
        <v>341</v>
      </c>
    </row>
    <row r="5" spans="1:21" ht="15.75" thickBot="1" x14ac:dyDescent="0.3">
      <c r="A5" s="21"/>
    </row>
    <row r="6" spans="1:21" x14ac:dyDescent="0.25">
      <c r="A6" s="123"/>
      <c r="B6" s="326"/>
      <c r="C6" s="1097" t="s">
        <v>153</v>
      </c>
      <c r="D6" s="1084"/>
      <c r="E6" s="1097" t="s">
        <v>50</v>
      </c>
      <c r="F6" s="1084"/>
      <c r="G6" s="814" t="s">
        <v>344</v>
      </c>
      <c r="H6" s="348"/>
      <c r="I6" s="348"/>
      <c r="J6" s="830"/>
      <c r="K6" s="814" t="s">
        <v>345</v>
      </c>
      <c r="L6" s="923"/>
      <c r="M6" s="923"/>
      <c r="N6" s="682" t="s">
        <v>290</v>
      </c>
      <c r="O6" s="326"/>
      <c r="P6" s="348">
        <f>+B1</f>
        <v>2035</v>
      </c>
      <c r="Q6" s="348"/>
      <c r="R6" s="814" t="s">
        <v>0</v>
      </c>
      <c r="S6" s="326"/>
      <c r="T6" s="348">
        <f>+C1</f>
        <v>2050</v>
      </c>
      <c r="U6" s="349"/>
    </row>
    <row r="7" spans="1:21" x14ac:dyDescent="0.25">
      <c r="A7" s="131"/>
      <c r="B7" s="292"/>
      <c r="C7" s="1082" t="s">
        <v>155</v>
      </c>
      <c r="D7" s="1083"/>
      <c r="E7" s="1082" t="s">
        <v>309</v>
      </c>
      <c r="F7" s="1083"/>
      <c r="G7" s="341" t="s">
        <v>136</v>
      </c>
      <c r="H7" s="853" t="s">
        <v>54</v>
      </c>
      <c r="I7" s="853" t="s">
        <v>55</v>
      </c>
      <c r="J7" s="770" t="s">
        <v>56</v>
      </c>
      <c r="K7" s="853" t="s">
        <v>54</v>
      </c>
      <c r="L7" s="853" t="s">
        <v>55</v>
      </c>
      <c r="M7" s="770" t="s">
        <v>56</v>
      </c>
      <c r="N7" s="853" t="s">
        <v>136</v>
      </c>
      <c r="O7" s="853" t="s">
        <v>54</v>
      </c>
      <c r="P7" s="853" t="s">
        <v>55</v>
      </c>
      <c r="Q7" s="853" t="s">
        <v>56</v>
      </c>
      <c r="R7" s="852" t="s">
        <v>136</v>
      </c>
      <c r="S7" s="853" t="s">
        <v>54</v>
      </c>
      <c r="T7" s="853" t="s">
        <v>55</v>
      </c>
      <c r="U7" s="342" t="s">
        <v>56</v>
      </c>
    </row>
    <row r="8" spans="1:21" x14ac:dyDescent="0.25">
      <c r="A8" s="131"/>
      <c r="B8" s="292"/>
      <c r="C8" s="852">
        <v>2011</v>
      </c>
      <c r="D8" s="511"/>
      <c r="E8" s="1082" t="s">
        <v>51</v>
      </c>
      <c r="F8" s="1083"/>
      <c r="G8" s="341" t="s">
        <v>154</v>
      </c>
      <c r="H8" s="343" t="s">
        <v>154</v>
      </c>
      <c r="I8" s="343" t="s">
        <v>154</v>
      </c>
      <c r="J8" s="550" t="s">
        <v>154</v>
      </c>
      <c r="K8" s="343" t="s">
        <v>154</v>
      </c>
      <c r="L8" s="343" t="s">
        <v>154</v>
      </c>
      <c r="M8" s="550" t="s">
        <v>154</v>
      </c>
      <c r="N8" s="853" t="s">
        <v>1</v>
      </c>
      <c r="O8" s="853" t="s">
        <v>1</v>
      </c>
      <c r="P8" s="853" t="s">
        <v>1</v>
      </c>
      <c r="Q8" s="853" t="s">
        <v>1</v>
      </c>
      <c r="R8" s="852" t="s">
        <v>1</v>
      </c>
      <c r="S8" s="853" t="s">
        <v>1</v>
      </c>
      <c r="T8" s="853" t="s">
        <v>1</v>
      </c>
      <c r="U8" s="342" t="s">
        <v>1</v>
      </c>
    </row>
    <row r="9" spans="1:21" x14ac:dyDescent="0.25">
      <c r="A9" s="124"/>
      <c r="B9" s="3"/>
      <c r="C9" s="344" t="s">
        <v>1</v>
      </c>
      <c r="D9" s="345"/>
      <c r="E9" s="346" t="s">
        <v>310</v>
      </c>
      <c r="F9" s="346" t="s">
        <v>342</v>
      </c>
      <c r="G9" s="346"/>
      <c r="H9" s="328"/>
      <c r="I9" s="328"/>
      <c r="J9" s="551"/>
      <c r="K9" s="328"/>
      <c r="L9" s="328"/>
      <c r="M9" s="551"/>
      <c r="N9" s="346"/>
      <c r="O9" s="3"/>
      <c r="P9" s="3"/>
      <c r="Q9" s="3"/>
      <c r="R9" s="346"/>
      <c r="S9" s="3"/>
      <c r="T9" s="3"/>
      <c r="U9" s="224"/>
    </row>
    <row r="10" spans="1:21" x14ac:dyDescent="0.25">
      <c r="A10" s="294" t="s">
        <v>2</v>
      </c>
      <c r="B10" s="18"/>
      <c r="C10" s="73">
        <f>[5]Transport!$N18</f>
        <v>17.837999999999997</v>
      </c>
      <c r="D10" s="510"/>
      <c r="E10" s="89">
        <f>+'E-tjen-oversigt'!E41</f>
        <v>1.2513537005733433E-2</v>
      </c>
      <c r="F10" s="89">
        <f>+'E-tjen-oversigt'!F41</f>
        <v>1.064987236408186E-2</v>
      </c>
      <c r="G10" s="89">
        <v>0</v>
      </c>
      <c r="H10" s="99">
        <f>+Effektiviseringer!F46</f>
        <v>2.5000000000000001E-3</v>
      </c>
      <c r="I10" s="299">
        <f>+Effektiviseringer!J46</f>
        <v>2.5000000000000001E-3</v>
      </c>
      <c r="J10" s="552">
        <f>+Effektiviseringer!N46</f>
        <v>2.5000000000000001E-3</v>
      </c>
      <c r="K10" s="99">
        <f>+Effektiviseringer!G46</f>
        <v>1.6666666666666668E-3</v>
      </c>
      <c r="L10" s="299">
        <f>+Effektiviseringer!K46</f>
        <v>1.6666666666666668E-3</v>
      </c>
      <c r="M10" s="552">
        <f>+Effektiviseringer!O46</f>
        <v>1.6666666666666668E-3</v>
      </c>
      <c r="N10" s="924">
        <f>+$C10*(1+$E10-G10)^$B$2</f>
        <v>24.041761200540623</v>
      </c>
      <c r="O10" s="924">
        <f t="shared" ref="O10:O20" si="0">+$C10*(1+$E10-H10)^$B$2</f>
        <v>22.656813489078811</v>
      </c>
      <c r="P10" s="924">
        <f t="shared" ref="P10:P20" si="1">+$C10*(1+$E10-I10)^$B$2</f>
        <v>22.656813489078811</v>
      </c>
      <c r="Q10" s="924">
        <f t="shared" ref="Q10:Q20" si="2">+$C10*(1+$E10-J10)^$B$2</f>
        <v>22.656813489078811</v>
      </c>
      <c r="R10" s="925">
        <f>+N10*(1+$F10-G10)^$D$2</f>
        <v>28.182347225896514</v>
      </c>
      <c r="S10" s="925">
        <f>+O10*(1+$F10-K10)^$D$2</f>
        <v>25.909432042883306</v>
      </c>
      <c r="T10" s="925">
        <f t="shared" ref="T10:U10" si="3">+P10*(1+$F10-L10)^$D$2</f>
        <v>25.909432042883306</v>
      </c>
      <c r="U10" s="926">
        <f t="shared" si="3"/>
        <v>25.909432042883306</v>
      </c>
    </row>
    <row r="11" spans="1:21" x14ac:dyDescent="0.25">
      <c r="A11" s="294" t="s">
        <v>139</v>
      </c>
      <c r="B11" s="18"/>
      <c r="C11" s="73">
        <f>[5]Transport!$N19</f>
        <v>7.1520000000000001</v>
      </c>
      <c r="D11" s="510"/>
      <c r="E11" s="89">
        <f>+'E-tjen-oversigt'!E42</f>
        <v>1.3159175118844235E-2</v>
      </c>
      <c r="F11" s="89">
        <f>+'E-tjen-oversigt'!F42</f>
        <v>1.5742884698618287E-2</v>
      </c>
      <c r="G11" s="89">
        <v>0</v>
      </c>
      <c r="H11" s="99">
        <f>+Effektiviseringer!F47</f>
        <v>5.0000000000000001E-4</v>
      </c>
      <c r="I11" s="299">
        <f>+Effektiviseringer!J47</f>
        <v>5.0000000000000001E-4</v>
      </c>
      <c r="J11" s="552">
        <f>+Effektiviseringer!N47</f>
        <v>5.0000000000000001E-4</v>
      </c>
      <c r="K11" s="99">
        <f>+Effektiviseringer!G47</f>
        <v>2.5000000000000001E-4</v>
      </c>
      <c r="L11" s="299">
        <f>+Effektiviseringer!K47</f>
        <v>2.5000000000000001E-4</v>
      </c>
      <c r="M11" s="552">
        <f>+Effektiviseringer!O47</f>
        <v>2.5000000000000001E-4</v>
      </c>
      <c r="N11" s="924">
        <f t="shared" ref="N11:N20" si="4">+$C11*(1+$E11-G11)^$B$2</f>
        <v>9.7879528217191325</v>
      </c>
      <c r="O11" s="924">
        <f t="shared" si="0"/>
        <v>9.6726784936038097</v>
      </c>
      <c r="P11" s="924">
        <f t="shared" si="1"/>
        <v>9.6726784936038097</v>
      </c>
      <c r="Q11" s="924">
        <f t="shared" si="2"/>
        <v>9.6726784936038097</v>
      </c>
      <c r="R11" s="925">
        <f t="shared" ref="R11:R20" si="5">+N11*(1+$F11-G11)^$D$2</f>
        <v>12.372250338264326</v>
      </c>
      <c r="S11" s="925">
        <f t="shared" ref="S11:S20" si="6">+O11*(1+$F11-K11)^$D$2</f>
        <v>12.181479090184668</v>
      </c>
      <c r="T11" s="925">
        <f t="shared" ref="T11:T20" si="7">+P11*(1+$F11-L11)^$D$2</f>
        <v>12.181479090184668</v>
      </c>
      <c r="U11" s="926">
        <f t="shared" ref="U11:U20" si="8">+Q11*(1+$F11-M11)^$D$2</f>
        <v>12.181479090184668</v>
      </c>
    </row>
    <row r="12" spans="1:21" x14ac:dyDescent="0.25">
      <c r="A12" s="294" t="s">
        <v>3</v>
      </c>
      <c r="B12" s="18"/>
      <c r="C12" s="73">
        <f>[5]Transport!$N20</f>
        <v>7.02</v>
      </c>
      <c r="D12" s="510"/>
      <c r="E12" s="89">
        <f>+'E-tjen-oversigt'!E43</f>
        <v>1.1749059528412653E-2</v>
      </c>
      <c r="F12" s="89">
        <f>+'E-tjen-oversigt'!F43</f>
        <v>1.1918278800318705E-2</v>
      </c>
      <c r="G12" s="89">
        <v>0</v>
      </c>
      <c r="H12" s="99">
        <f>+Effektiviseringer!F48</f>
        <v>5.0000000000000001E-4</v>
      </c>
      <c r="I12" s="299">
        <f>+Effektiviseringer!J48</f>
        <v>5.0000000000000001E-4</v>
      </c>
      <c r="J12" s="552">
        <f>+Effektiviseringer!N48</f>
        <v>5.0000000000000001E-4</v>
      </c>
      <c r="K12" s="99">
        <f>+Effektiviseringer!G48</f>
        <v>2.5000000000000001E-4</v>
      </c>
      <c r="L12" s="299">
        <f>+Effektiviseringer!K48</f>
        <v>2.5000000000000001E-4</v>
      </c>
      <c r="M12" s="552">
        <f>+Effektiviseringer!O48</f>
        <v>2.5000000000000001E-4</v>
      </c>
      <c r="N12" s="924">
        <f t="shared" si="4"/>
        <v>9.2914723084232733</v>
      </c>
      <c r="O12" s="924">
        <f t="shared" si="0"/>
        <v>9.1818934651609254</v>
      </c>
      <c r="P12" s="924">
        <f t="shared" si="1"/>
        <v>9.1818934651609254</v>
      </c>
      <c r="Q12" s="924">
        <f t="shared" si="2"/>
        <v>9.1818934651609254</v>
      </c>
      <c r="R12" s="925">
        <f t="shared" si="5"/>
        <v>11.09854762186075</v>
      </c>
      <c r="S12" s="925">
        <f t="shared" si="6"/>
        <v>10.927082972989407</v>
      </c>
      <c r="T12" s="925">
        <f t="shared" si="7"/>
        <v>10.927082972989407</v>
      </c>
      <c r="U12" s="926">
        <f t="shared" si="8"/>
        <v>10.927082972989407</v>
      </c>
    </row>
    <row r="13" spans="1:21" x14ac:dyDescent="0.25">
      <c r="A13" s="294" t="s">
        <v>140</v>
      </c>
      <c r="B13" s="18"/>
      <c r="C13" s="73">
        <f>[5]Transport!$N21</f>
        <v>2.16</v>
      </c>
      <c r="D13" s="510"/>
      <c r="E13" s="89">
        <f>+'E-tjen-oversigt'!E44</f>
        <v>3.1283842514333582E-3</v>
      </c>
      <c r="F13" s="89">
        <f>+'E-tjen-oversigt'!F44</f>
        <v>3.1109887589001687E-3</v>
      </c>
      <c r="G13" s="89">
        <v>0</v>
      </c>
      <c r="H13" s="99">
        <f>+Effektiviseringer!F49</f>
        <v>5.0000000000000001E-4</v>
      </c>
      <c r="I13" s="299">
        <f>+Effektiviseringer!J49</f>
        <v>5.0000000000000001E-4</v>
      </c>
      <c r="J13" s="552">
        <f>+Effektiviseringer!N49</f>
        <v>5.0000000000000001E-4</v>
      </c>
      <c r="K13" s="99">
        <f>+Effektiviseringer!G49</f>
        <v>2.5000000000000001E-4</v>
      </c>
      <c r="L13" s="299">
        <f>+Effektiviseringer!K49</f>
        <v>2.5000000000000001E-4</v>
      </c>
      <c r="M13" s="552">
        <f>+Effektiviseringer!O49</f>
        <v>2.5000000000000001E-4</v>
      </c>
      <c r="N13" s="924">
        <f>+$C13*(1+$E13-G13)^$B$2</f>
        <v>2.3281460092107533</v>
      </c>
      <c r="O13" s="924">
        <f t="shared" si="0"/>
        <v>2.3004544442237118</v>
      </c>
      <c r="P13" s="924">
        <f t="shared" si="1"/>
        <v>2.3004544442237118</v>
      </c>
      <c r="Q13" s="924">
        <f t="shared" si="2"/>
        <v>2.3004544442237118</v>
      </c>
      <c r="R13" s="925">
        <f t="shared" si="5"/>
        <v>2.439186644534844</v>
      </c>
      <c r="S13" s="925">
        <f t="shared" si="6"/>
        <v>2.4011799122806337</v>
      </c>
      <c r="T13" s="925">
        <f t="shared" si="7"/>
        <v>2.4011799122806337</v>
      </c>
      <c r="U13" s="926">
        <f t="shared" si="8"/>
        <v>2.4011799122806337</v>
      </c>
    </row>
    <row r="14" spans="1:21" x14ac:dyDescent="0.25">
      <c r="A14" s="294" t="s">
        <v>143</v>
      </c>
      <c r="B14" s="18"/>
      <c r="C14" s="73">
        <f>[5]Transport!$N22</f>
        <v>0.16000000000000003</v>
      </c>
      <c r="D14" s="510"/>
      <c r="E14" s="89">
        <f>+'E-tjen-oversigt'!E45</f>
        <v>1.5641921257166791E-2</v>
      </c>
      <c r="F14" s="89">
        <f>+'E-tjen-oversigt'!F45</f>
        <v>1.3312340455102323E-2</v>
      </c>
      <c r="G14" s="89">
        <v>0</v>
      </c>
      <c r="H14" s="99">
        <f>+Effektiviseringer!F50</f>
        <v>5.0000000000000001E-4</v>
      </c>
      <c r="I14" s="299">
        <f>+Effektiviseringer!J50</f>
        <v>5.0000000000000001E-4</v>
      </c>
      <c r="J14" s="552">
        <f>+Effektiviseringer!N50</f>
        <v>5.0000000000000001E-4</v>
      </c>
      <c r="K14" s="99">
        <f>+Effektiviseringer!G50</f>
        <v>2.5000000000000001E-4</v>
      </c>
      <c r="L14" s="299">
        <f>+Effektiviseringer!K50</f>
        <v>2.5000000000000001E-4</v>
      </c>
      <c r="M14" s="552">
        <f>+Effektiviseringer!O50</f>
        <v>2.5000000000000001E-4</v>
      </c>
      <c r="N14" s="924">
        <f t="shared" si="4"/>
        <v>0.23221743465436312</v>
      </c>
      <c r="O14" s="924">
        <f t="shared" si="0"/>
        <v>0.22948921939086184</v>
      </c>
      <c r="P14" s="924">
        <f t="shared" si="1"/>
        <v>0.22948921939086184</v>
      </c>
      <c r="Q14" s="924">
        <f t="shared" si="2"/>
        <v>0.22948921939086184</v>
      </c>
      <c r="R14" s="925">
        <f>+N14*(1+$F14-G14)^$D$2</f>
        <v>0.28316840725065145</v>
      </c>
      <c r="S14" s="925">
        <f t="shared" si="6"/>
        <v>0.27880775973011213</v>
      </c>
      <c r="T14" s="925">
        <f t="shared" si="7"/>
        <v>0.27880775973011213</v>
      </c>
      <c r="U14" s="926">
        <f t="shared" si="8"/>
        <v>0.27880775973011213</v>
      </c>
    </row>
    <row r="15" spans="1:21" x14ac:dyDescent="0.25">
      <c r="A15" s="294" t="s">
        <v>144</v>
      </c>
      <c r="B15" s="18"/>
      <c r="C15" s="73">
        <f>[5]Transport!$N23</f>
        <v>1.1795</v>
      </c>
      <c r="D15" s="297"/>
      <c r="E15" s="89">
        <f>+'E-tjen-oversigt'!E46</f>
        <v>7.8209606285833955E-3</v>
      </c>
      <c r="F15" s="89">
        <f>+'E-tjen-oversigt'!F46</f>
        <v>6.6561702275511614E-3</v>
      </c>
      <c r="G15" s="89">
        <v>0</v>
      </c>
      <c r="H15" s="299">
        <f>+Effektiviseringer!F51</f>
        <v>5.0000000000000001E-4</v>
      </c>
      <c r="I15" s="299">
        <f>+Effektiviseringer!J51</f>
        <v>5.0000000000000001E-4</v>
      </c>
      <c r="J15" s="552">
        <f>+Effektiviseringer!N51</f>
        <v>5.0000000000000001E-4</v>
      </c>
      <c r="K15" s="99">
        <f>+Effektiviseringer!G51</f>
        <v>2.5000000000000001E-4</v>
      </c>
      <c r="L15" s="299">
        <f>+Effektiviseringer!K51</f>
        <v>2.5000000000000001E-4</v>
      </c>
      <c r="M15" s="552">
        <f>+Effektiviseringer!O51</f>
        <v>2.5000000000000001E-4</v>
      </c>
      <c r="N15" s="924">
        <f t="shared" si="4"/>
        <v>1.4219987760335309</v>
      </c>
      <c r="O15" s="924">
        <f t="shared" si="0"/>
        <v>1.4051634622587108</v>
      </c>
      <c r="P15" s="924">
        <f t="shared" si="1"/>
        <v>1.4051634622587108</v>
      </c>
      <c r="Q15" s="924">
        <f t="shared" si="2"/>
        <v>1.4051634622587108</v>
      </c>
      <c r="R15" s="925">
        <f t="shared" si="5"/>
        <v>1.5707845481062837</v>
      </c>
      <c r="S15" s="925">
        <f t="shared" si="6"/>
        <v>1.5464155558848824</v>
      </c>
      <c r="T15" s="925">
        <f t="shared" si="7"/>
        <v>1.5464155558848824</v>
      </c>
      <c r="U15" s="926">
        <f t="shared" si="8"/>
        <v>1.5464155558848824</v>
      </c>
    </row>
    <row r="16" spans="1:21" x14ac:dyDescent="0.25">
      <c r="A16" s="294" t="s">
        <v>145</v>
      </c>
      <c r="B16" s="18"/>
      <c r="C16" s="73">
        <f>[5]Transport!$N24</f>
        <v>1.1439999999999999</v>
      </c>
      <c r="D16" s="297"/>
      <c r="E16" s="89">
        <f>+'E-tjen-oversigt'!E47</f>
        <v>4.6996238113650619E-3</v>
      </c>
      <c r="F16" s="89">
        <f>+'E-tjen-oversigt'!F47</f>
        <v>4.7673115201274825E-3</v>
      </c>
      <c r="G16" s="89">
        <v>0</v>
      </c>
      <c r="H16" s="299">
        <f>+Effektiviseringer!F52</f>
        <v>0</v>
      </c>
      <c r="I16" s="299">
        <f>+Effektiviseringer!J52</f>
        <v>0</v>
      </c>
      <c r="J16" s="552">
        <f>+Effektiviseringer!N52</f>
        <v>0</v>
      </c>
      <c r="K16" s="99">
        <f>+Effektiviseringer!G52</f>
        <v>0</v>
      </c>
      <c r="L16" s="299">
        <f>+Effektiviseringer!K52</f>
        <v>0</v>
      </c>
      <c r="M16" s="552">
        <f>+Effektiviseringer!O52</f>
        <v>0</v>
      </c>
      <c r="N16" s="924">
        <f t="shared" si="4"/>
        <v>1.2802529227768189</v>
      </c>
      <c r="O16" s="924">
        <f t="shared" si="0"/>
        <v>1.2802529227768189</v>
      </c>
      <c r="P16" s="924">
        <f t="shared" si="1"/>
        <v>1.2802529227768189</v>
      </c>
      <c r="Q16" s="924">
        <f t="shared" si="2"/>
        <v>1.2802529227768189</v>
      </c>
      <c r="R16" s="925">
        <f t="shared" si="5"/>
        <v>1.3749225640798697</v>
      </c>
      <c r="S16" s="925">
        <f t="shared" si="6"/>
        <v>1.3749225640798697</v>
      </c>
      <c r="T16" s="925">
        <f t="shared" si="7"/>
        <v>1.3749225640798697</v>
      </c>
      <c r="U16" s="926">
        <f t="shared" si="8"/>
        <v>1.3749225640798697</v>
      </c>
    </row>
    <row r="17" spans="1:21" x14ac:dyDescent="0.25">
      <c r="A17" s="295" t="s">
        <v>147</v>
      </c>
      <c r="B17" s="18"/>
      <c r="C17" s="73">
        <f>[5]Transport!$N25</f>
        <v>2.2364999999999999</v>
      </c>
      <c r="D17" s="297"/>
      <c r="E17" s="89">
        <f>+'E-tjen-oversigt'!E48</f>
        <v>1.1749059528412655E-3</v>
      </c>
      <c r="F17" s="89">
        <f>+'E-tjen-oversigt'!F48</f>
        <v>1.1918278800318706E-3</v>
      </c>
      <c r="G17" s="89">
        <v>0</v>
      </c>
      <c r="H17" s="299">
        <f>+Effektiviseringer!F53</f>
        <v>0</v>
      </c>
      <c r="I17" s="299">
        <f>+Effektiviseringer!J53</f>
        <v>0</v>
      </c>
      <c r="J17" s="552">
        <f>+Effektiviseringer!N53</f>
        <v>0</v>
      </c>
      <c r="K17" s="99">
        <f>+Effektiviseringer!G53</f>
        <v>0</v>
      </c>
      <c r="L17" s="299">
        <f>+Effektiviseringer!K53</f>
        <v>0</v>
      </c>
      <c r="M17" s="552">
        <f>+Effektiviseringer!O53</f>
        <v>0</v>
      </c>
      <c r="N17" s="924">
        <f t="shared" si="4"/>
        <v>2.3004237264867258</v>
      </c>
      <c r="O17" s="924">
        <f t="shared" si="0"/>
        <v>2.3004237264867258</v>
      </c>
      <c r="P17" s="924">
        <f t="shared" si="1"/>
        <v>2.3004237264867258</v>
      </c>
      <c r="Q17" s="924">
        <f t="shared" si="2"/>
        <v>2.3004237264867258</v>
      </c>
      <c r="R17" s="925">
        <f t="shared" si="5"/>
        <v>2.3418942445853181</v>
      </c>
      <c r="S17" s="925">
        <f t="shared" si="6"/>
        <v>2.3418942445853181</v>
      </c>
      <c r="T17" s="925">
        <f t="shared" si="7"/>
        <v>2.3418942445853181</v>
      </c>
      <c r="U17" s="926">
        <f t="shared" si="8"/>
        <v>2.3418942445853181</v>
      </c>
    </row>
    <row r="18" spans="1:21" x14ac:dyDescent="0.25">
      <c r="A18" s="295" t="s">
        <v>148</v>
      </c>
      <c r="B18" s="18"/>
      <c r="C18" s="73">
        <f>[5]Transport!$N26</f>
        <v>12.824</v>
      </c>
      <c r="D18" s="297"/>
      <c r="E18" s="89">
        <f>+'E-tjen-oversigt'!E49</f>
        <v>1.5641921257166791E-2</v>
      </c>
      <c r="F18" s="89">
        <f>+'E-tjen-oversigt'!F49</f>
        <v>1.3312340455102323E-2</v>
      </c>
      <c r="G18" s="89">
        <v>0</v>
      </c>
      <c r="H18" s="299">
        <f>+Effektiviseringer!F54</f>
        <v>6.0000000000000001E-3</v>
      </c>
      <c r="I18" s="299">
        <f>+Effektiviseringer!J54</f>
        <v>6.0000000000000001E-3</v>
      </c>
      <c r="J18" s="552">
        <f>+Effektiviseringer!N54</f>
        <v>6.0000000000000001E-3</v>
      </c>
      <c r="K18" s="99">
        <f>+Effektiviseringer!G54</f>
        <v>5.0000000000000001E-3</v>
      </c>
      <c r="L18" s="299">
        <f>+Effektiviseringer!K54</f>
        <v>5.0000000000000001E-3</v>
      </c>
      <c r="M18" s="552">
        <f>+Effektiviseringer!O54</f>
        <v>5.0000000000000001E-3</v>
      </c>
      <c r="N18" s="924">
        <f t="shared" si="4"/>
        <v>18.6122273875472</v>
      </c>
      <c r="O18" s="924">
        <f t="shared" si="0"/>
        <v>16.145091075482146</v>
      </c>
      <c r="P18" s="924">
        <f t="shared" si="1"/>
        <v>16.145091075482146</v>
      </c>
      <c r="Q18" s="924">
        <f t="shared" si="2"/>
        <v>16.145091075482146</v>
      </c>
      <c r="R18" s="925">
        <f t="shared" si="5"/>
        <v>22.695947841139713</v>
      </c>
      <c r="S18" s="925">
        <f t="shared" si="6"/>
        <v>18.279602002713204</v>
      </c>
      <c r="T18" s="925">
        <f t="shared" si="7"/>
        <v>18.279602002713204</v>
      </c>
      <c r="U18" s="926">
        <f t="shared" si="8"/>
        <v>18.279602002713204</v>
      </c>
    </row>
    <row r="19" spans="1:21" x14ac:dyDescent="0.25">
      <c r="A19" s="295" t="s">
        <v>149</v>
      </c>
      <c r="B19" s="18"/>
      <c r="C19" s="73">
        <f>[5]Transport!$N27</f>
        <v>0.55999999999999994</v>
      </c>
      <c r="D19" s="297"/>
      <c r="E19" s="89">
        <f>+'E-tjen-oversigt'!E50</f>
        <v>0</v>
      </c>
      <c r="F19" s="89">
        <f>+'E-tjen-oversigt'!F50</f>
        <v>0</v>
      </c>
      <c r="G19" s="172">
        <v>0</v>
      </c>
      <c r="H19" s="299">
        <f>+Effektiviseringer!F55</f>
        <v>0</v>
      </c>
      <c r="I19" s="299">
        <f>+Effektiviseringer!J55</f>
        <v>0</v>
      </c>
      <c r="J19" s="552">
        <f>+Effektiviseringer!N55</f>
        <v>0</v>
      </c>
      <c r="K19" s="99">
        <f>+Effektiviseringer!G55</f>
        <v>0</v>
      </c>
      <c r="L19" s="299">
        <f>+Effektiviseringer!K55</f>
        <v>0</v>
      </c>
      <c r="M19" s="552">
        <f>+Effektiviseringer!O55</f>
        <v>0</v>
      </c>
      <c r="N19" s="924">
        <f t="shared" si="4"/>
        <v>0.55999999999999994</v>
      </c>
      <c r="O19" s="924">
        <f t="shared" si="0"/>
        <v>0.55999999999999994</v>
      </c>
      <c r="P19" s="924">
        <f t="shared" si="1"/>
        <v>0.55999999999999994</v>
      </c>
      <c r="Q19" s="924">
        <f t="shared" si="2"/>
        <v>0.55999999999999994</v>
      </c>
      <c r="R19" s="925">
        <f t="shared" si="5"/>
        <v>0.55999999999999994</v>
      </c>
      <c r="S19" s="925">
        <f t="shared" si="6"/>
        <v>0.55999999999999994</v>
      </c>
      <c r="T19" s="925">
        <f t="shared" si="7"/>
        <v>0.55999999999999994</v>
      </c>
      <c r="U19" s="926">
        <f t="shared" si="8"/>
        <v>0.55999999999999994</v>
      </c>
    </row>
    <row r="20" spans="1:21" x14ac:dyDescent="0.25">
      <c r="A20" s="296" t="s">
        <v>150</v>
      </c>
      <c r="B20" s="5"/>
      <c r="C20" s="813">
        <f>[5]Transport!$N28</f>
        <v>0.36749999999999999</v>
      </c>
      <c r="D20" s="298"/>
      <c r="E20" s="806">
        <f>+'E-tjen-oversigt'!E51</f>
        <v>0</v>
      </c>
      <c r="F20" s="806">
        <f>+'E-tjen-oversigt'!F51</f>
        <v>0</v>
      </c>
      <c r="G20" s="815">
        <v>0</v>
      </c>
      <c r="H20" s="300">
        <f>+Effektiviseringer!F56</f>
        <v>0</v>
      </c>
      <c r="I20" s="300">
        <f>+Effektiviseringer!J56</f>
        <v>0</v>
      </c>
      <c r="J20" s="553">
        <f>+Effektiviseringer!N56</f>
        <v>0</v>
      </c>
      <c r="K20" s="806">
        <f>+Effektiviseringer!G56</f>
        <v>0</v>
      </c>
      <c r="L20" s="300">
        <f>+Effektiviseringer!K56</f>
        <v>0</v>
      </c>
      <c r="M20" s="553">
        <f>+Effektiviseringer!O56</f>
        <v>0</v>
      </c>
      <c r="N20" s="927">
        <f t="shared" si="4"/>
        <v>0.36749999999999999</v>
      </c>
      <c r="O20" s="927">
        <f t="shared" si="0"/>
        <v>0.36749999999999999</v>
      </c>
      <c r="P20" s="927">
        <f t="shared" si="1"/>
        <v>0.36749999999999999</v>
      </c>
      <c r="Q20" s="927">
        <f t="shared" si="2"/>
        <v>0.36749999999999999</v>
      </c>
      <c r="R20" s="928">
        <f t="shared" si="5"/>
        <v>0.36749999999999999</v>
      </c>
      <c r="S20" s="928">
        <f t="shared" si="6"/>
        <v>0.36749999999999999</v>
      </c>
      <c r="T20" s="928">
        <f t="shared" si="7"/>
        <v>0.36749999999999999</v>
      </c>
      <c r="U20" s="929">
        <f t="shared" si="8"/>
        <v>0.36749999999999999</v>
      </c>
    </row>
    <row r="21" spans="1:21" ht="15.75" thickBot="1" x14ac:dyDescent="0.3">
      <c r="A21" s="13"/>
      <c r="B21" s="34"/>
      <c r="C21" s="46">
        <f>SUM(C10:C20)</f>
        <v>52.641499999999994</v>
      </c>
      <c r="D21" s="46"/>
      <c r="E21" s="46"/>
      <c r="F21" s="34"/>
      <c r="G21" s="765"/>
      <c r="H21" s="46">
        <f t="shared" ref="H21:J21" si="9">SUM(H10:H20)</f>
        <v>1.1000000000000001E-2</v>
      </c>
      <c r="I21" s="46">
        <f t="shared" si="9"/>
        <v>1.1000000000000001E-2</v>
      </c>
      <c r="J21" s="46">
        <f t="shared" si="9"/>
        <v>1.1000000000000001E-2</v>
      </c>
      <c r="K21" s="46">
        <f t="shared" ref="K21:M21" si="10">SUM(K10:K20)</f>
        <v>7.9166666666666673E-3</v>
      </c>
      <c r="L21" s="46">
        <f t="shared" si="10"/>
        <v>7.9166666666666673E-3</v>
      </c>
      <c r="M21" s="46">
        <f t="shared" si="10"/>
        <v>7.9166666666666673E-3</v>
      </c>
      <c r="N21" s="549">
        <f t="shared" ref="N21:U21" si="11">SUM(N10:N20)</f>
        <v>70.223952587392432</v>
      </c>
      <c r="O21" s="547">
        <f t="shared" si="11"/>
        <v>66.099760298462527</v>
      </c>
      <c r="P21" s="547">
        <f t="shared" si="11"/>
        <v>66.099760298462527</v>
      </c>
      <c r="Q21" s="547">
        <f t="shared" si="11"/>
        <v>66.099760298462527</v>
      </c>
      <c r="R21" s="549">
        <f t="shared" si="11"/>
        <v>83.286549435718271</v>
      </c>
      <c r="S21" s="547">
        <f t="shared" si="11"/>
        <v>76.168316145331417</v>
      </c>
      <c r="T21" s="547">
        <f t="shared" si="11"/>
        <v>76.168316145331417</v>
      </c>
      <c r="U21" s="542">
        <f t="shared" si="11"/>
        <v>76.168316145331417</v>
      </c>
    </row>
    <row r="22" spans="1:21" ht="19.5" thickBot="1" x14ac:dyDescent="0.35">
      <c r="A22" s="683">
        <f>+B1</f>
        <v>2035</v>
      </c>
      <c r="B22" s="18"/>
      <c r="C22" s="41"/>
      <c r="D22" s="41"/>
      <c r="E22" s="41"/>
      <c r="G22" s="125"/>
      <c r="H22" s="41"/>
      <c r="I22" s="41"/>
      <c r="J22" s="41"/>
      <c r="K22" s="543"/>
      <c r="L22" s="543"/>
      <c r="M22" s="543"/>
      <c r="N22" s="543">
        <f>+C10*(1+E10-H10)^B2</f>
        <v>22.656813489078811</v>
      </c>
      <c r="O22" s="543"/>
      <c r="P22" s="543"/>
      <c r="Q22" s="543"/>
      <c r="R22" s="543"/>
    </row>
    <row r="23" spans="1:21" x14ac:dyDescent="0.25">
      <c r="A23" s="227" t="s">
        <v>0</v>
      </c>
      <c r="B23" s="228" t="s">
        <v>2</v>
      </c>
      <c r="C23" s="229" t="s">
        <v>139</v>
      </c>
      <c r="D23" s="229" t="s">
        <v>3</v>
      </c>
      <c r="E23" s="229" t="s">
        <v>140</v>
      </c>
      <c r="F23" s="229" t="s">
        <v>141</v>
      </c>
      <c r="G23" s="233" t="s">
        <v>4</v>
      </c>
      <c r="H23" s="229" t="s">
        <v>5</v>
      </c>
      <c r="I23" s="229" t="s">
        <v>6</v>
      </c>
      <c r="L23" s="543"/>
      <c r="M23" s="930"/>
      <c r="N23" s="543">
        <f>+C10*(1+E10)^B2*(1-Effektiviseringer!H46)</f>
        <v>22.557013089942938</v>
      </c>
      <c r="O23" s="543"/>
      <c r="P23" s="543"/>
      <c r="Q23" s="543"/>
      <c r="R23" s="543"/>
    </row>
    <row r="24" spans="1:21" x14ac:dyDescent="0.25">
      <c r="A24" s="231">
        <v>2050</v>
      </c>
      <c r="B24" s="232"/>
      <c r="C24" s="233"/>
      <c r="D24" s="233" t="s">
        <v>128</v>
      </c>
      <c r="E24" s="233"/>
      <c r="F24" s="233" t="s">
        <v>142</v>
      </c>
      <c r="G24" s="233"/>
      <c r="H24" s="233"/>
      <c r="I24" s="233"/>
      <c r="L24" s="543"/>
      <c r="M24" s="930"/>
      <c r="N24" s="543"/>
      <c r="O24" s="543"/>
      <c r="P24" s="543"/>
      <c r="Q24" s="543"/>
      <c r="R24" s="543"/>
    </row>
    <row r="25" spans="1:21" x14ac:dyDescent="0.25">
      <c r="A25" s="237" t="s">
        <v>1</v>
      </c>
      <c r="B25" s="238" t="s">
        <v>11</v>
      </c>
      <c r="C25" s="239"/>
      <c r="D25" s="239" t="s">
        <v>12</v>
      </c>
      <c r="E25" s="239"/>
      <c r="F25" s="239"/>
      <c r="G25" s="239" t="s">
        <v>13</v>
      </c>
      <c r="H25" s="239" t="s">
        <v>14</v>
      </c>
      <c r="I25" s="239" t="s">
        <v>15</v>
      </c>
      <c r="L25" s="543"/>
      <c r="M25" s="930" t="s">
        <v>34</v>
      </c>
      <c r="N25" s="543"/>
      <c r="O25" s="543"/>
      <c r="P25" s="543"/>
      <c r="Q25" s="543"/>
      <c r="R25" s="543"/>
    </row>
    <row r="26" spans="1:21" x14ac:dyDescent="0.25">
      <c r="A26" s="236" t="s">
        <v>136</v>
      </c>
      <c r="B26" s="931">
        <f>+N10</f>
        <v>24.041761200540623</v>
      </c>
      <c r="C26" s="931">
        <f>+N11</f>
        <v>9.7879528217191325</v>
      </c>
      <c r="D26" s="931">
        <f>+N12+N20</f>
        <v>9.658972308423273</v>
      </c>
      <c r="E26" s="931">
        <f>+N13</f>
        <v>2.3281460092107533</v>
      </c>
      <c r="F26" s="931">
        <f>+N14</f>
        <v>0.23221743465436312</v>
      </c>
      <c r="G26" s="931">
        <f>+N18+N19</f>
        <v>19.172227387547199</v>
      </c>
      <c r="H26" s="931">
        <f>+N15+N16</f>
        <v>2.7022516988103495</v>
      </c>
      <c r="I26" s="931">
        <f>+N17</f>
        <v>2.3004237264867258</v>
      </c>
      <c r="L26" s="543"/>
      <c r="M26" s="543">
        <f>SUM(B26:L26)</f>
        <v>70.223952587392418</v>
      </c>
      <c r="N26" s="543"/>
      <c r="O26" s="543"/>
      <c r="P26" s="543" t="s">
        <v>249</v>
      </c>
      <c r="Q26" s="543"/>
      <c r="R26" s="543"/>
    </row>
    <row r="27" spans="1:21" x14ac:dyDescent="0.25">
      <c r="A27" s="236" t="s">
        <v>54</v>
      </c>
      <c r="B27" s="932">
        <f>+O10</f>
        <v>22.656813489078811</v>
      </c>
      <c r="C27" s="932">
        <f>+O11</f>
        <v>9.6726784936038097</v>
      </c>
      <c r="D27" s="932">
        <f>+O12+O20</f>
        <v>9.5493934651609251</v>
      </c>
      <c r="E27" s="932">
        <f>+O13</f>
        <v>2.3004544442237118</v>
      </c>
      <c r="F27" s="932">
        <f>+O14</f>
        <v>0.22948921939086184</v>
      </c>
      <c r="G27" s="932">
        <f>+O18+O19</f>
        <v>16.705091075482144</v>
      </c>
      <c r="H27" s="932">
        <f>+O15+O16</f>
        <v>2.6854163850355297</v>
      </c>
      <c r="I27" s="932">
        <f>+O17</f>
        <v>2.3004237264867258</v>
      </c>
      <c r="L27" s="543"/>
      <c r="M27" s="543">
        <f>SUM(B27:L27)</f>
        <v>66.099760298462513</v>
      </c>
      <c r="N27" s="543"/>
      <c r="O27" s="543"/>
      <c r="P27" s="543"/>
      <c r="Q27" s="543"/>
    </row>
    <row r="28" spans="1:21" x14ac:dyDescent="0.25">
      <c r="A28" s="236" t="s">
        <v>55</v>
      </c>
      <c r="B28" s="932">
        <f>+P10</f>
        <v>22.656813489078811</v>
      </c>
      <c r="C28" s="932">
        <f>+P11</f>
        <v>9.6726784936038097</v>
      </c>
      <c r="D28" s="932">
        <f>+P12+P20</f>
        <v>9.5493934651609251</v>
      </c>
      <c r="E28" s="932">
        <f>+P13</f>
        <v>2.3004544442237118</v>
      </c>
      <c r="F28" s="932">
        <f>+P14</f>
        <v>0.22948921939086184</v>
      </c>
      <c r="G28" s="932">
        <f>+P18+P19</f>
        <v>16.705091075482144</v>
      </c>
      <c r="H28" s="932">
        <f>+P15+P16</f>
        <v>2.6854163850355297</v>
      </c>
      <c r="I28" s="932">
        <f>+P17</f>
        <v>2.3004237264867258</v>
      </c>
      <c r="L28" s="543"/>
      <c r="M28" s="543">
        <f>SUM(B28:L28)</f>
        <v>66.099760298462513</v>
      </c>
      <c r="N28" s="543"/>
      <c r="O28" s="543"/>
      <c r="P28" s="543"/>
      <c r="Q28" s="543"/>
    </row>
    <row r="29" spans="1:21" x14ac:dyDescent="0.25">
      <c r="A29" s="242" t="s">
        <v>105</v>
      </c>
      <c r="B29" s="927">
        <f>+Q10</f>
        <v>22.656813489078811</v>
      </c>
      <c r="C29" s="927">
        <f>+Q11</f>
        <v>9.6726784936038097</v>
      </c>
      <c r="D29" s="927">
        <f>+Q12+Q20</f>
        <v>9.5493934651609251</v>
      </c>
      <c r="E29" s="927">
        <f>+Q13</f>
        <v>2.3004544442237118</v>
      </c>
      <c r="F29" s="927">
        <f>+Q14</f>
        <v>0.22948921939086184</v>
      </c>
      <c r="G29" s="927">
        <f>+Q18+Q19</f>
        <v>16.705091075482144</v>
      </c>
      <c r="H29" s="927">
        <f>+Q15+Q16</f>
        <v>2.6854163850355297</v>
      </c>
      <c r="I29" s="927">
        <f>+Q17</f>
        <v>2.3004237264867258</v>
      </c>
      <c r="L29" s="543"/>
      <c r="M29" s="543">
        <f>SUM(B29:L29)</f>
        <v>66.099760298462513</v>
      </c>
      <c r="N29" s="543"/>
      <c r="O29" s="543"/>
      <c r="P29" s="543"/>
      <c r="Q29" s="543"/>
    </row>
    <row r="30" spans="1:21" x14ac:dyDescent="0.25">
      <c r="A30" s="18"/>
      <c r="B30" s="18"/>
      <c r="C30" s="41"/>
      <c r="D30" s="41"/>
      <c r="E30" s="41"/>
      <c r="G30" s="41"/>
      <c r="H30" s="41"/>
      <c r="I30" s="41"/>
      <c r="J30" s="41"/>
      <c r="K30" s="543"/>
      <c r="L30" s="543"/>
      <c r="M30" s="543"/>
      <c r="N30" s="543"/>
      <c r="O30" s="543"/>
      <c r="P30" s="543"/>
      <c r="Q30" s="543"/>
    </row>
    <row r="32" spans="1:21" ht="19.5" thickBot="1" x14ac:dyDescent="0.35">
      <c r="A32" s="684">
        <f>+C1</f>
        <v>2050</v>
      </c>
    </row>
    <row r="33" spans="1:13" x14ac:dyDescent="0.25">
      <c r="A33" s="227" t="s">
        <v>0</v>
      </c>
      <c r="B33" s="228" t="s">
        <v>2</v>
      </c>
      <c r="C33" s="229" t="s">
        <v>139</v>
      </c>
      <c r="D33" s="229" t="s">
        <v>3</v>
      </c>
      <c r="E33" s="229" t="s">
        <v>140</v>
      </c>
      <c r="F33" s="229" t="s">
        <v>141</v>
      </c>
      <c r="G33" s="229" t="s">
        <v>4</v>
      </c>
      <c r="H33" s="229" t="s">
        <v>5</v>
      </c>
      <c r="I33" s="229" t="s">
        <v>6</v>
      </c>
      <c r="J33" s="377"/>
      <c r="M33" s="930"/>
    </row>
    <row r="34" spans="1:13" x14ac:dyDescent="0.25">
      <c r="A34" s="231">
        <v>2050</v>
      </c>
      <c r="B34" s="232"/>
      <c r="C34" s="233"/>
      <c r="D34" s="233" t="s">
        <v>128</v>
      </c>
      <c r="E34" s="233"/>
      <c r="F34" s="233" t="s">
        <v>142</v>
      </c>
      <c r="G34" s="233"/>
      <c r="H34" s="233"/>
      <c r="I34" s="233"/>
      <c r="J34" s="377"/>
      <c r="M34" s="930"/>
    </row>
    <row r="35" spans="1:13" x14ac:dyDescent="0.25">
      <c r="A35" s="237" t="s">
        <v>1</v>
      </c>
      <c r="B35" s="238" t="s">
        <v>11</v>
      </c>
      <c r="C35" s="239"/>
      <c r="D35" s="239" t="s">
        <v>12</v>
      </c>
      <c r="E35" s="239"/>
      <c r="F35" s="239"/>
      <c r="G35" s="239" t="s">
        <v>13</v>
      </c>
      <c r="H35" s="239" t="s">
        <v>14</v>
      </c>
      <c r="I35" s="239" t="s">
        <v>15</v>
      </c>
      <c r="J35" s="377"/>
      <c r="M35" s="930" t="s">
        <v>34</v>
      </c>
    </row>
    <row r="36" spans="1:13" x14ac:dyDescent="0.25">
      <c r="A36" s="236" t="s">
        <v>136</v>
      </c>
      <c r="B36" s="931">
        <f>+R10</f>
        <v>28.182347225896514</v>
      </c>
      <c r="C36" s="931">
        <f>+R11</f>
        <v>12.372250338264326</v>
      </c>
      <c r="D36" s="931">
        <f>+R12+R20</f>
        <v>11.466047621860749</v>
      </c>
      <c r="E36" s="931">
        <f>+R13</f>
        <v>2.439186644534844</v>
      </c>
      <c r="F36" s="931">
        <f>+R14</f>
        <v>0.28316840725065145</v>
      </c>
      <c r="G36" s="931">
        <f>+R18+R19</f>
        <v>23.255947841139712</v>
      </c>
      <c r="H36" s="931">
        <f>+R15+R16</f>
        <v>2.9457071121861533</v>
      </c>
      <c r="I36" s="931">
        <f>+R17</f>
        <v>2.3418942445853181</v>
      </c>
      <c r="J36" s="377"/>
      <c r="M36" s="293">
        <f>SUM(B36:L36)</f>
        <v>83.286549435718271</v>
      </c>
    </row>
    <row r="37" spans="1:13" x14ac:dyDescent="0.25">
      <c r="A37" s="236" t="s">
        <v>54</v>
      </c>
      <c r="B37" s="932">
        <f>+S10</f>
        <v>25.909432042883306</v>
      </c>
      <c r="C37" s="932">
        <f>+S11</f>
        <v>12.181479090184668</v>
      </c>
      <c r="D37" s="932">
        <f>+S12+S20</f>
        <v>11.294582972989406</v>
      </c>
      <c r="E37" s="932">
        <f>+S13</f>
        <v>2.4011799122806337</v>
      </c>
      <c r="F37" s="932">
        <f>+S14</f>
        <v>0.27880775973011213</v>
      </c>
      <c r="G37" s="932">
        <f>+S18+S19</f>
        <v>18.839602002713203</v>
      </c>
      <c r="H37" s="932">
        <f>+S15+S16</f>
        <v>2.9213381199647523</v>
      </c>
      <c r="I37" s="932">
        <f>+S17</f>
        <v>2.3418942445853181</v>
      </c>
      <c r="J37" s="125"/>
      <c r="M37" s="293">
        <f t="shared" ref="M37:M39" si="12">SUM(B37:L37)</f>
        <v>76.168316145331403</v>
      </c>
    </row>
    <row r="38" spans="1:13" x14ac:dyDescent="0.25">
      <c r="A38" s="236" t="s">
        <v>55</v>
      </c>
      <c r="B38" s="932">
        <f>+T10</f>
        <v>25.909432042883306</v>
      </c>
      <c r="C38" s="932">
        <f>+T11</f>
        <v>12.181479090184668</v>
      </c>
      <c r="D38" s="932">
        <f>+T12+T20</f>
        <v>11.294582972989406</v>
      </c>
      <c r="E38" s="932">
        <f>+T13</f>
        <v>2.4011799122806337</v>
      </c>
      <c r="F38" s="932">
        <f>+T14</f>
        <v>0.27880775973011213</v>
      </c>
      <c r="G38" s="932">
        <f>+T18+T19</f>
        <v>18.839602002713203</v>
      </c>
      <c r="H38" s="932">
        <f>+T15+T16</f>
        <v>2.9213381199647523</v>
      </c>
      <c r="I38" s="932">
        <f>+T17</f>
        <v>2.3418942445853181</v>
      </c>
      <c r="J38" s="125"/>
      <c r="M38" s="293">
        <f t="shared" si="12"/>
        <v>76.168316145331403</v>
      </c>
    </row>
    <row r="39" spans="1:13" x14ac:dyDescent="0.25">
      <c r="A39" s="242" t="s">
        <v>105</v>
      </c>
      <c r="B39" s="927">
        <f>+U10</f>
        <v>25.909432042883306</v>
      </c>
      <c r="C39" s="927">
        <f>+U11</f>
        <v>12.181479090184668</v>
      </c>
      <c r="D39" s="927">
        <f>+U12+U20</f>
        <v>11.294582972989406</v>
      </c>
      <c r="E39" s="927">
        <f>+U13</f>
        <v>2.4011799122806337</v>
      </c>
      <c r="F39" s="927">
        <f>+U14</f>
        <v>0.27880775973011213</v>
      </c>
      <c r="G39" s="927">
        <f>+U18+U19</f>
        <v>18.839602002713203</v>
      </c>
      <c r="H39" s="927">
        <f>+U15+U16</f>
        <v>2.9213381199647523</v>
      </c>
      <c r="I39" s="927">
        <f>+U17</f>
        <v>2.3418942445853181</v>
      </c>
      <c r="J39" s="125"/>
      <c r="M39" s="293">
        <f t="shared" si="12"/>
        <v>76.168316145331403</v>
      </c>
    </row>
  </sheetData>
  <mergeCells count="5">
    <mergeCell ref="E8:F8"/>
    <mergeCell ref="C6:D6"/>
    <mergeCell ref="C7:D7"/>
    <mergeCell ref="E6:F6"/>
    <mergeCell ref="E7:F7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6:BS14"/>
  <sheetViews>
    <sheetView topLeftCell="A6" workbookViewId="0">
      <pane xSplit="1" ySplit="3" topLeftCell="B9" activePane="bottomRight" state="frozen"/>
      <selection activeCell="A6" sqref="A6"/>
      <selection pane="topRight" activeCell="B6" sqref="B6"/>
      <selection pane="bottomLeft" activeCell="A9" sqref="A9"/>
      <selection pane="bottomRight" activeCell="I39" sqref="I39"/>
    </sheetView>
  </sheetViews>
  <sheetFormatPr defaultRowHeight="15" x14ac:dyDescent="0.25"/>
  <cols>
    <col min="1" max="1" width="31" customWidth="1"/>
    <col min="2" max="78" width="5.7109375" customWidth="1"/>
  </cols>
  <sheetData>
    <row r="6" spans="1:71" x14ac:dyDescent="0.25">
      <c r="A6" s="7" t="s">
        <v>184</v>
      </c>
    </row>
    <row r="7" spans="1:71" x14ac:dyDescent="0.25">
      <c r="A7" s="7" t="s">
        <v>238</v>
      </c>
    </row>
    <row r="8" spans="1:71" x14ac:dyDescent="0.25">
      <c r="B8" s="108">
        <v>0.01</v>
      </c>
      <c r="C8" s="108">
        <v>0.02</v>
      </c>
      <c r="D8" s="108">
        <v>0.03</v>
      </c>
      <c r="E8" s="108">
        <v>0.04</v>
      </c>
      <c r="F8" s="108">
        <v>0.05</v>
      </c>
      <c r="G8" s="108">
        <v>0.06</v>
      </c>
      <c r="H8" s="108">
        <v>7.0000000000000007E-2</v>
      </c>
      <c r="I8" s="108">
        <v>0.08</v>
      </c>
      <c r="J8" s="108">
        <v>0.09</v>
      </c>
      <c r="K8" s="108">
        <v>0.1</v>
      </c>
      <c r="L8" s="108">
        <v>0.11</v>
      </c>
      <c r="M8" s="108">
        <v>0.12</v>
      </c>
      <c r="N8" s="108">
        <v>0.13</v>
      </c>
      <c r="O8" s="108">
        <v>0.14000000000000001</v>
      </c>
      <c r="P8" s="108">
        <v>0.15</v>
      </c>
      <c r="Q8" s="108">
        <v>0.16</v>
      </c>
      <c r="R8" s="108">
        <v>0.17</v>
      </c>
      <c r="S8" s="108">
        <v>0.18</v>
      </c>
      <c r="T8" s="108">
        <v>0.19</v>
      </c>
      <c r="U8" s="108">
        <v>0.2</v>
      </c>
      <c r="V8" s="108">
        <v>0.21</v>
      </c>
      <c r="W8" s="108">
        <v>0.22</v>
      </c>
      <c r="X8" s="108">
        <v>0.23</v>
      </c>
      <c r="Y8" s="108">
        <v>0.24</v>
      </c>
      <c r="Z8" s="108">
        <v>0.25</v>
      </c>
      <c r="AA8" s="108">
        <v>0.26</v>
      </c>
      <c r="AB8" s="108">
        <v>0.27</v>
      </c>
      <c r="AC8" s="108">
        <v>0.28000000000000003</v>
      </c>
      <c r="AD8" s="108">
        <v>0.28999999999999998</v>
      </c>
      <c r="AE8" s="108">
        <v>0.3</v>
      </c>
      <c r="AF8" s="108">
        <v>0.31</v>
      </c>
      <c r="AG8" s="108">
        <v>0.32</v>
      </c>
      <c r="AH8" s="108">
        <v>0.33</v>
      </c>
      <c r="AI8" s="108">
        <v>0.34</v>
      </c>
      <c r="AJ8" s="108">
        <v>0.35</v>
      </c>
      <c r="AK8" s="108">
        <v>0.36</v>
      </c>
      <c r="AL8" s="108">
        <v>0.37</v>
      </c>
      <c r="AM8" s="108">
        <v>0.38</v>
      </c>
      <c r="AN8" s="108">
        <v>0.39</v>
      </c>
      <c r="AO8" s="108">
        <v>0.4</v>
      </c>
      <c r="AP8" s="108">
        <v>0.41</v>
      </c>
      <c r="AQ8" s="108">
        <v>0.42</v>
      </c>
      <c r="AR8" s="108">
        <v>0.43</v>
      </c>
      <c r="AS8" s="108">
        <v>0.44</v>
      </c>
      <c r="AT8" s="108">
        <v>0.45</v>
      </c>
      <c r="AU8" s="108">
        <v>0.46</v>
      </c>
      <c r="AV8" s="108">
        <v>0.47</v>
      </c>
      <c r="AW8" s="108">
        <v>0.48</v>
      </c>
      <c r="AX8" s="108">
        <v>0.49</v>
      </c>
      <c r="AY8" s="108">
        <v>0.5</v>
      </c>
      <c r="AZ8" s="108">
        <v>0.51</v>
      </c>
      <c r="BA8" s="108">
        <v>0.52</v>
      </c>
      <c r="BB8" s="108">
        <v>0.53</v>
      </c>
      <c r="BC8" s="108">
        <v>0.54</v>
      </c>
      <c r="BD8" s="108">
        <v>0.55000000000000004</v>
      </c>
      <c r="BE8" s="108">
        <v>0.56000000000000005</v>
      </c>
      <c r="BF8" s="108">
        <v>0.56999999999999995</v>
      </c>
      <c r="BG8" s="108">
        <v>0.57999999999999996</v>
      </c>
      <c r="BH8" s="108">
        <v>0.59</v>
      </c>
      <c r="BI8" s="108">
        <v>0.6</v>
      </c>
      <c r="BJ8" s="108">
        <v>0.61</v>
      </c>
      <c r="BK8" s="108">
        <v>0.62</v>
      </c>
      <c r="BL8" s="108">
        <v>0.63</v>
      </c>
      <c r="BM8" s="108">
        <v>0.64</v>
      </c>
      <c r="BN8" s="108">
        <v>0.65</v>
      </c>
      <c r="BO8" s="108">
        <v>0.66</v>
      </c>
      <c r="BP8" s="108">
        <v>0.67</v>
      </c>
      <c r="BQ8" s="108">
        <v>0.68</v>
      </c>
      <c r="BR8" s="108">
        <v>0.69</v>
      </c>
      <c r="BS8" s="108">
        <v>0.7</v>
      </c>
    </row>
    <row r="9" spans="1:71" x14ac:dyDescent="0.25">
      <c r="A9" t="s">
        <v>59</v>
      </c>
      <c r="B9">
        <f>+'Økonomi 2050'!$L$42*EXP('Økonomi 2050'!$M$42*Omkostninger!B8)</f>
        <v>0.28513421817043355</v>
      </c>
      <c r="C9">
        <f>+'Økonomi 2050'!$L$42*EXP('Økonomi 2050'!$M$42*Omkostninger!C8)</f>
        <v>0.29077797700881408</v>
      </c>
      <c r="D9">
        <f>+'Økonomi 2050'!$L$42*EXP('Økonomi 2050'!$M$42*Omkostninger!D8)</f>
        <v>0.296533444690946</v>
      </c>
      <c r="E9">
        <f>+'Økonomi 2050'!$L$42*EXP('Økonomi 2050'!$M$42*Omkostninger!E8)</f>
        <v>0.30240283230807719</v>
      </c>
      <c r="F9">
        <f>+'Økonomi 2050'!$L$42*EXP('Økonomi 2050'!$M$42*Omkostninger!F8)</f>
        <v>0.30838839471633878</v>
      </c>
      <c r="G9">
        <f>+'Økonomi 2050'!$L$42*EXP('Økonomi 2050'!$M$42*Omkostninger!G8)</f>
        <v>0.31449243140299826</v>
      </c>
      <c r="H9">
        <f>+'Økonomi 2050'!$L$42*EXP('Økonomi 2050'!$M$42*Omkostninger!H8)</f>
        <v>0.32071728736985916</v>
      </c>
      <c r="I9">
        <f>+'Økonomi 2050'!$L$42*EXP('Økonomi 2050'!$M$42*Omkostninger!I8)</f>
        <v>0.32706535403414544</v>
      </c>
      <c r="J9">
        <f>+'Økonomi 2050'!$L$42*EXP('Økonomi 2050'!$M$42*Omkostninger!J8)</f>
        <v>0.3335390701472179</v>
      </c>
      <c r="K9">
        <f>+'Økonomi 2050'!$L$42*EXP('Økonomi 2050'!$M$42*Omkostninger!K8)</f>
        <v>0.34014092273147484</v>
      </c>
      <c r="L9">
        <f>+'Økonomi 2050'!$L$42*EXP('Økonomi 2050'!$M$42*Omkostninger!L8)</f>
        <v>0.34687344803579728</v>
      </c>
      <c r="M9">
        <f>+'Økonomi 2050'!$L$42*EXP('Økonomi 2050'!$M$42*Omkostninger!M8)</f>
        <v>0.35373923250990552</v>
      </c>
      <c r="N9">
        <f>+'Økonomi 2050'!$L$42*EXP('Økonomi 2050'!$M$42*Omkostninger!N8)</f>
        <v>0.36074091379800116</v>
      </c>
      <c r="O9">
        <f>+'Økonomi 2050'!$L$42*EXP('Økonomi 2050'!$M$42*Omkostninger!O8)</f>
        <v>0.3678811817520774</v>
      </c>
      <c r="P9">
        <f>+'Økonomi 2050'!$L$42*EXP('Økonomi 2050'!$M$42*Omkostninger!P8)</f>
        <v>0.37516277946528526</v>
      </c>
      <c r="Q9">
        <f>+'Økonomi 2050'!$L$42*EXP('Økonomi 2050'!$M$42*Omkostninger!Q8)</f>
        <v>0.38258850432575425</v>
      </c>
      <c r="R9">
        <f>+'Økonomi 2050'!$L$42*EXP('Økonomi 2050'!$M$42*Omkostninger!R8)</f>
        <v>0.39016120909127139</v>
      </c>
      <c r="S9">
        <f>+'Økonomi 2050'!$L$42*EXP('Økonomi 2050'!$M$42*Omkostninger!S8)</f>
        <v>0.39788380298523146</v>
      </c>
      <c r="T9">
        <f>+'Økonomi 2050'!$L$42*EXP('Økonomi 2050'!$M$42*Omkostninger!T8)</f>
        <v>0.40575925281428038</v>
      </c>
      <c r="U9">
        <f>+'Økonomi 2050'!$L$42*EXP('Økonomi 2050'!$M$42*Omkostninger!U8)</f>
        <v>0.4137905841080799</v>
      </c>
      <c r="V9">
        <f>+'Økonomi 2050'!$L$42*EXP('Økonomi 2050'!$M$42*Omkostninger!V8)</f>
        <v>0.42198088228163227</v>
      </c>
      <c r="W9">
        <f>+'Økonomi 2050'!$L$42*EXP('Økonomi 2050'!$M$42*Omkostninger!W8)</f>
        <v>0.43033329382061147</v>
      </c>
      <c r="X9">
        <f>+'Økonomi 2050'!$L$42*EXP('Økonomi 2050'!$M$42*Omkostninger!X8)</f>
        <v>0.4388510274901557</v>
      </c>
      <c r="Y9">
        <f>+'Økonomi 2050'!$L$42*EXP('Økonomi 2050'!$M$42*Omkostninger!Y8)</f>
        <v>0.44753735556758578</v>
      </c>
      <c r="Z9">
        <f>+'Økonomi 2050'!$L$42*EXP('Økonomi 2050'!$M$42*Omkostninger!Z8)</f>
        <v>0.45639561509952398</v>
      </c>
      <c r="AA9">
        <f>+'Økonomi 2050'!$L$42*EXP('Økonomi 2050'!$M$42*Omkostninger!AA8)</f>
        <v>0.46542920918389452</v>
      </c>
      <c r="AB9">
        <f>+'Økonomi 2050'!$L$42*EXP('Økonomi 2050'!$M$42*Omkostninger!AB8)</f>
        <v>0.47464160827729945</v>
      </c>
      <c r="AC9">
        <f>+'Økonomi 2050'!$L$42*EXP('Økonomi 2050'!$M$42*Omkostninger!AC8)</f>
        <v>0.48403635152827246</v>
      </c>
      <c r="AD9">
        <f>+'Økonomi 2050'!$L$42*EXP('Økonomi 2050'!$M$42*Omkostninger!AD8)</f>
        <v>0.49361704813692092</v>
      </c>
      <c r="AE9">
        <f>+'Økonomi 2050'!$L$42*EXP('Økonomi 2050'!$M$42*Omkostninger!AE8)</f>
        <v>0.50338737874148143</v>
      </c>
      <c r="AF9">
        <f>+'Økonomi 2050'!$L$42*EXP('Økonomi 2050'!$M$42*Omkostninger!AF8)</f>
        <v>0.5133510968323185</v>
      </c>
      <c r="AG9">
        <f>+'Økonomi 2050'!$L$42*EXP('Økonomi 2050'!$M$42*Omkostninger!AG8)</f>
        <v>0.52351203019391157</v>
      </c>
      <c r="AH9">
        <f>+'Økonomi 2050'!$L$42*EXP('Økonomi 2050'!$M$42*Omkostninger!AH8)</f>
        <v>0.53387408237538403</v>
      </c>
      <c r="AI9">
        <f>+'Økonomi 2050'!$L$42*EXP('Økonomi 2050'!$M$42*Omkostninger!AI8)</f>
        <v>0.54444123419013868</v>
      </c>
      <c r="AJ9">
        <f>+'Økonomi 2050'!$L$42*EXP('Økonomi 2050'!$M$42*Omkostninger!AJ8)</f>
        <v>0.55521754524517564</v>
      </c>
      <c r="AK9">
        <f>+'Økonomi 2050'!$L$42*EXP('Økonomi 2050'!$M$42*Omkostninger!AK8)</f>
        <v>0.56620715550068124</v>
      </c>
      <c r="AL9">
        <f>+'Økonomi 2050'!$L$42*EXP('Økonomi 2050'!$M$42*Omkostninger!AL8)</f>
        <v>0.5774142868604859</v>
      </c>
      <c r="AM9">
        <f>+'Økonomi 2050'!$L$42*EXP('Økonomi 2050'!$M$42*Omkostninger!AM8)</f>
        <v>0.58884324479400252</v>
      </c>
      <c r="AN9">
        <f>+'Økonomi 2050'!$L$42*EXP('Økonomi 2050'!$M$42*Omkostninger!AN8)</f>
        <v>0.60049841999026854</v>
      </c>
      <c r="AO9">
        <f>+'Økonomi 2050'!$L$42*EXP('Økonomi 2050'!$M$42*Omkostninger!AO8)</f>
        <v>0.61238429004472783</v>
      </c>
      <c r="AP9">
        <f>+'Økonomi 2050'!$L$42*EXP('Økonomi 2050'!$M$42*Omkostninger!AP8)</f>
        <v>0.62450542117939734</v>
      </c>
      <c r="AQ9">
        <f>+'Økonomi 2050'!$L$42*EXP('Økonomi 2050'!$M$42*Omkostninger!AQ8)</f>
        <v>0.63686646999708429</v>
      </c>
      <c r="AR9">
        <f>+'Økonomi 2050'!$L$42*EXP('Økonomi 2050'!$M$42*Omkostninger!AR8)</f>
        <v>0.6494721852703238</v>
      </c>
      <c r="AS9">
        <f>+'Økonomi 2050'!$L$42*EXP('Økonomi 2050'!$M$42*Omkostninger!AS8)</f>
        <v>0.66232740976572513</v>
      </c>
      <c r="AT9">
        <f>+'Økonomi 2050'!$L$42*EXP('Økonomi 2050'!$M$42*Omkostninger!AT8)</f>
        <v>0.67543708210442921</v>
      </c>
      <c r="AU9">
        <f>+'Økonomi 2050'!$L$42*EXP('Økonomi 2050'!$M$42*Omkostninger!AU8)</f>
        <v>0.68880623865938984</v>
      </c>
      <c r="AV9">
        <f>+'Økonomi 2050'!$L$42*EXP('Økonomi 2050'!$M$42*Omkostninger!AV8)</f>
        <v>0.70244001549020785</v>
      </c>
      <c r="AW9">
        <f>+'Økonomi 2050'!$L$42*EXP('Økonomi 2050'!$M$42*Omkostninger!AW8)</f>
        <v>0.7163436503162649</v>
      </c>
      <c r="AX9">
        <f>+'Økonomi 2050'!$L$42*EXP('Økonomi 2050'!$M$42*Omkostninger!AX8)</f>
        <v>0.730522484528908</v>
      </c>
      <c r="AY9">
        <f>+'Økonomi 2050'!$L$42*EXP('Økonomi 2050'!$M$42*Omkostninger!AY8)</f>
        <v>0.74498196524346505</v>
      </c>
      <c r="AZ9">
        <f>+'Økonomi 2050'!$L$42*EXP('Økonomi 2050'!$M$42*Omkostninger!AZ8)</f>
        <v>0.75972764739187604</v>
      </c>
      <c r="BA9">
        <f>+'Økonomi 2050'!$L$42*EXP('Økonomi 2050'!$M$42*Omkostninger!BA8)</f>
        <v>0.77476519585674319</v>
      </c>
      <c r="BB9">
        <f>+'Økonomi 2050'!$L$42*EXP('Økonomi 2050'!$M$42*Omkostninger!BB8)</f>
        <v>0.79010038764762258</v>
      </c>
      <c r="BC9">
        <f>+'Økonomi 2050'!$L$42*EXP('Økonomi 2050'!$M$42*Omkostninger!BC8)</f>
        <v>0.80573911412039123</v>
      </c>
      <c r="BD9">
        <f>+'Økonomi 2050'!$L$42*EXP('Økonomi 2050'!$M$42*Omkostninger!BD8)</f>
        <v>0.8216873832405418</v>
      </c>
      <c r="BE9">
        <f>+'Økonomi 2050'!$L$42*EXP('Økonomi 2050'!$M$42*Omkostninger!BE8)</f>
        <v>0.83795132189127797</v>
      </c>
      <c r="BF9">
        <f>+'Økonomi 2050'!$L$42*EXP('Økonomi 2050'!$M$42*Omkostninger!BF8)</f>
        <v>0.85453717822729192</v>
      </c>
      <c r="BG9">
        <f>+'Økonomi 2050'!$L$42*EXP('Økonomi 2050'!$M$42*Omkostninger!BG8)</f>
        <v>0.87145132407513337</v>
      </c>
      <c r="BH9">
        <f>+'Økonomi 2050'!$L$42*EXP('Økonomi 2050'!$M$42*Omkostninger!BH8)</f>
        <v>0.88870025738108827</v>
      </c>
      <c r="BI9">
        <f>+'Økonomi 2050'!$L$42*EXP('Økonomi 2050'!$M$42*Omkostninger!BI8)</f>
        <v>0.90629060470750966</v>
      </c>
      <c r="BJ9">
        <f>+'Økonomi 2050'!$L$42*EXP('Økonomi 2050'!$M$42*Omkostninger!BJ8)</f>
        <v>0.92422912377855948</v>
      </c>
      <c r="BK9">
        <f>+'Økonomi 2050'!$L$42*EXP('Økonomi 2050'!$M$42*Omkostninger!BK8)</f>
        <v>0.94252270607633915</v>
      </c>
      <c r="BL9">
        <f>+'Økonomi 2050'!$L$42*EXP('Økonomi 2050'!$M$42*Omkostninger!BL8)</f>
        <v>0.9611783794884059</v>
      </c>
      <c r="BM9">
        <f>+'Økonomi 2050'!$L$42*EXP('Økonomi 2050'!$M$42*Omkostninger!BM8)</f>
        <v>0.98020331100769287</v>
      </c>
      <c r="BN9">
        <f>+'Økonomi 2050'!$L$42*EXP('Økonomi 2050'!$M$42*Omkostninger!BN8)</f>
        <v>0.9996048094858685</v>
      </c>
      <c r="BO9">
        <f>+'Økonomi 2050'!$L$42*EXP('Økonomi 2050'!$M$42*Omkostninger!BO8)</f>
        <v>1.0193903284411958</v>
      </c>
      <c r="BP9">
        <f>+'Økonomi 2050'!$L$42*EXP('Økonomi 2050'!$M$42*Omkostninger!BP8)</f>
        <v>1.0395674689219667</v>
      </c>
      <c r="BQ9">
        <f>+'Økonomi 2050'!$L$42*EXP('Økonomi 2050'!$M$42*Omkostninger!BQ8)</f>
        <v>1.0601439824266143</v>
      </c>
      <c r="BR9">
        <f>+'Økonomi 2050'!$L$42*EXP('Økonomi 2050'!$M$42*Omkostninger!BR8)</f>
        <v>1.0811277738816256</v>
      </c>
      <c r="BS9">
        <f>+'Økonomi 2050'!$L$42*EXP('Økonomi 2050'!$M$42*Omkostninger!BS8)</f>
        <v>1.1025269046783928</v>
      </c>
    </row>
    <row r="10" spans="1:71" x14ac:dyDescent="0.25">
      <c r="A10" t="s">
        <v>23</v>
      </c>
      <c r="B10">
        <f>+'Økonomi 2050'!$L$43*EXP('Økonomi 2050'!$M$43*Omkostninger!B8)</f>
        <v>0.26571842411119717</v>
      </c>
      <c r="C10">
        <f>+'Økonomi 2050'!$L$43*EXP('Økonomi 2050'!$M$43*Omkostninger!C8)</f>
        <v>0.27062583714886174</v>
      </c>
      <c r="D10">
        <f>+'Økonomi 2050'!$L$43*EXP('Økonomi 2050'!$M$43*Omkostninger!D8)</f>
        <v>0.27562388260241089</v>
      </c>
      <c r="E10">
        <f>+'Økonomi 2050'!$L$43*EXP('Økonomi 2050'!$M$43*Omkostninger!E8)</f>
        <v>0.28071423431399856</v>
      </c>
      <c r="F10">
        <f>+'Økonomi 2050'!$L$43*EXP('Økonomi 2050'!$M$43*Omkostninger!F8)</f>
        <v>0.28589859703908405</v>
      </c>
      <c r="G10">
        <f>+'Økonomi 2050'!$L$43*EXP('Økonomi 2050'!$M$43*Omkostninger!G8)</f>
        <v>0.29117870701735366</v>
      </c>
      <c r="H10">
        <f>+'Økonomi 2050'!$L$43*EXP('Økonomi 2050'!$M$43*Omkostninger!H8)</f>
        <v>0.29655633255418623</v>
      </c>
      <c r="I10">
        <f>+'Økonomi 2050'!$L$43*EXP('Økonomi 2050'!$M$43*Omkostninger!I8)</f>
        <v>0.30203327461285728</v>
      </c>
      <c r="J10">
        <f>+'Økonomi 2050'!$L$43*EXP('Økonomi 2050'!$M$43*Omkostninger!J8)</f>
        <v>0.30761136741768064</v>
      </c>
      <c r="K10">
        <f>+'Økonomi 2050'!$L$43*EXP('Økonomi 2050'!$M$43*Omkostninger!K8)</f>
        <v>0.31329247906828878</v>
      </c>
      <c r="L10">
        <f>+'Økonomi 2050'!$L$43*EXP('Økonomi 2050'!$M$43*Omkostninger!L8)</f>
        <v>0.31907851216525834</v>
      </c>
      <c r="M10">
        <f>+'Økonomi 2050'!$L$43*EXP('Økonomi 2050'!$M$43*Omkostninger!M8)</f>
        <v>0.32497140444728967</v>
      </c>
      <c r="N10">
        <f>+'Økonomi 2050'!$L$43*EXP('Økonomi 2050'!$M$43*Omkostninger!N8)</f>
        <v>0.33097312944015439</v>
      </c>
      <c r="O10">
        <f>+'Økonomi 2050'!$L$43*EXP('Økonomi 2050'!$M$43*Omkostninger!O8)</f>
        <v>0.33708569711762781</v>
      </c>
      <c r="P10">
        <f>+'Økonomi 2050'!$L$43*EXP('Økonomi 2050'!$M$43*Omkostninger!P8)</f>
        <v>0.34331115457462769</v>
      </c>
      <c r="Q10">
        <f>+'Økonomi 2050'!$L$43*EXP('Økonomi 2050'!$M$43*Omkostninger!Q8)</f>
        <v>0.34965158671278523</v>
      </c>
      <c r="R10">
        <f>+'Økonomi 2050'!$L$43*EXP('Økonomi 2050'!$M$43*Omkostninger!R8)</f>
        <v>0.35610911693867719</v>
      </c>
      <c r="S10">
        <f>+'Økonomi 2050'!$L$43*EXP('Økonomi 2050'!$M$43*Omkostninger!S8)</f>
        <v>0.36268590787495331</v>
      </c>
      <c r="T10">
        <f>+'Økonomi 2050'!$L$43*EXP('Økonomi 2050'!$M$43*Omkostninger!T8)</f>
        <v>0.36938416208459712</v>
      </c>
      <c r="U10">
        <f>+'Økonomi 2050'!$L$43*EXP('Økonomi 2050'!$M$43*Omkostninger!U8)</f>
        <v>0.3762061228085633</v>
      </c>
      <c r="V10">
        <f>+'Økonomi 2050'!$L$43*EXP('Økonomi 2050'!$M$43*Omkostninger!V8)</f>
        <v>0.38315407471703689</v>
      </c>
      <c r="W10">
        <f>+'Økonomi 2050'!$L$43*EXP('Økonomi 2050'!$M$43*Omkostninger!W8)</f>
        <v>0.39023034467456846</v>
      </c>
      <c r="X10">
        <f>+'Økonomi 2050'!$L$43*EXP('Økonomi 2050'!$M$43*Omkostninger!X8)</f>
        <v>0.39743730251933929</v>
      </c>
      <c r="Y10">
        <f>+'Økonomi 2050'!$L$43*EXP('Økonomi 2050'!$M$43*Omkostninger!Y8)</f>
        <v>0.40477736185681845</v>
      </c>
      <c r="Z10">
        <f>+'Økonomi 2050'!$L$43*EXP('Økonomi 2050'!$M$43*Omkostninger!Z8)</f>
        <v>0.41225298086807816</v>
      </c>
      <c r="AA10">
        <f>+'Økonomi 2050'!$L$43*EXP('Økonomi 2050'!$M$43*Omkostninger!AA8)</f>
        <v>0.4198666631330365</v>
      </c>
      <c r="AB10">
        <f>+'Økonomi 2050'!$L$43*EXP('Økonomi 2050'!$M$43*Omkostninger!AB8)</f>
        <v>0.42762095846890502</v>
      </c>
      <c r="AC10">
        <f>+'Økonomi 2050'!$L$43*EXP('Økonomi 2050'!$M$43*Omkostninger!AC8)</f>
        <v>0.43551846378412079</v>
      </c>
      <c r="AD10">
        <f>+'Økonomi 2050'!$L$43*EXP('Økonomi 2050'!$M$43*Omkostninger!AD8)</f>
        <v>0.44356182394804916</v>
      </c>
      <c r="AE10">
        <f>+'Økonomi 2050'!$L$43*EXP('Økonomi 2050'!$M$43*Omkostninger!AE8)</f>
        <v>0.45175373267674929</v>
      </c>
      <c r="AF10">
        <f>+'Økonomi 2050'!$L$43*EXP('Økonomi 2050'!$M$43*Omkostninger!AF8)</f>
        <v>0.46009693343509706</v>
      </c>
      <c r="AG10">
        <f>+'Økonomi 2050'!$L$43*EXP('Økonomi 2050'!$M$43*Omkostninger!AG8)</f>
        <v>0.46859422035557052</v>
      </c>
      <c r="AH10">
        <f>+'Økonomi 2050'!$L$43*EXP('Økonomi 2050'!$M$43*Omkostninger!AH8)</f>
        <v>0.4772484391740025</v>
      </c>
      <c r="AI10">
        <f>+'Økonomi 2050'!$L$43*EXP('Økonomi 2050'!$M$43*Omkostninger!AI8)</f>
        <v>0.48606248818261577</v>
      </c>
      <c r="AJ10">
        <f>+'Økonomi 2050'!$L$43*EXP('Økonomi 2050'!$M$43*Omkostninger!AJ8)</f>
        <v>0.4950393192006593</v>
      </c>
      <c r="AK10">
        <f>+'Økonomi 2050'!$L$43*EXP('Økonomi 2050'!$M$43*Omkostninger!AK8)</f>
        <v>0.50418193856297078</v>
      </c>
      <c r="AL10">
        <f>+'Økonomi 2050'!$L$43*EXP('Økonomi 2050'!$M$43*Omkostninger!AL8)</f>
        <v>0.51349340812679567</v>
      </c>
      <c r="AM10">
        <f>+'Økonomi 2050'!$L$43*EXP('Økonomi 2050'!$M$43*Omkostninger!AM8)</f>
        <v>0.52297684629720165</v>
      </c>
      <c r="AN10">
        <f>+'Økonomi 2050'!$L$43*EXP('Økonomi 2050'!$M$43*Omkostninger!AN8)</f>
        <v>0.53263542907143047</v>
      </c>
      <c r="AO10">
        <f>+'Økonomi 2050'!$L$43*EXP('Økonomi 2050'!$M$43*Omkostninger!AO8)</f>
        <v>0.54247239110253653</v>
      </c>
      <c r="AP10">
        <f>+'Økonomi 2050'!$L$43*EXP('Økonomi 2050'!$M$43*Omkostninger!AP8)</f>
        <v>0.55249102678267148</v>
      </c>
      <c r="AQ10">
        <f>+'Økonomi 2050'!$L$43*EXP('Økonomi 2050'!$M$43*Omkostninger!AQ8)</f>
        <v>0.56269469134637273</v>
      </c>
      <c r="AR10">
        <f>+'Økonomi 2050'!$L$43*EXP('Økonomi 2050'!$M$43*Omkostninger!AR8)</f>
        <v>0.57308680199423012</v>
      </c>
      <c r="AS10">
        <f>+'Økonomi 2050'!$L$43*EXP('Økonomi 2050'!$M$43*Omkostninger!AS8)</f>
        <v>0.58367083903730355</v>
      </c>
      <c r="AT10">
        <f>+'Økonomi 2050'!$L$43*EXP('Økonomi 2050'!$M$43*Omkostninger!AT8)</f>
        <v>0.59445034706267719</v>
      </c>
      <c r="AU10">
        <f>+'Økonomi 2050'!$L$43*EXP('Økonomi 2050'!$M$43*Omkostninger!AU8)</f>
        <v>0.60542893612053961</v>
      </c>
      <c r="AV10">
        <f>+'Økonomi 2050'!$L$43*EXP('Økonomi 2050'!$M$43*Omkostninger!AV8)</f>
        <v>0.61661028293318665</v>
      </c>
      <c r="AW10">
        <f>+'Økonomi 2050'!$L$43*EXP('Økonomi 2050'!$M$43*Omkostninger!AW8)</f>
        <v>0.62799813212635391</v>
      </c>
      <c r="AX10">
        <f>+'Økonomi 2050'!$L$43*EXP('Økonomi 2050'!$M$43*Omkostninger!AX8)</f>
        <v>0.63959629748328906</v>
      </c>
      <c r="AY10">
        <f>+'Økonomi 2050'!$L$43*EXP('Økonomi 2050'!$M$43*Omkostninger!AY8)</f>
        <v>0.65140866322198532</v>
      </c>
      <c r="AZ10">
        <f>+'Økonomi 2050'!$L$43*EXP('Økonomi 2050'!$M$43*Omkostninger!AZ8)</f>
        <v>0.6634391852960041</v>
      </c>
      <c r="BA10">
        <f>+'Økonomi 2050'!$L$43*EXP('Økonomi 2050'!$M$43*Omkostninger!BA8)</f>
        <v>0.67569189271932051</v>
      </c>
      <c r="BB10">
        <f>+'Økonomi 2050'!$L$43*EXP('Økonomi 2050'!$M$43*Omkostninger!BB8)</f>
        <v>0.68817088891563782</v>
      </c>
      <c r="BC10">
        <f>+'Økonomi 2050'!$L$43*EXP('Økonomi 2050'!$M$43*Omkostninger!BC8)</f>
        <v>0.70088035309262153</v>
      </c>
      <c r="BD10">
        <f>+'Økonomi 2050'!$L$43*EXP('Økonomi 2050'!$M$43*Omkostninger!BD8)</f>
        <v>0.71382454164151332</v>
      </c>
      <c r="BE10">
        <f>+'Økonomi 2050'!$L$43*EXP('Økonomi 2050'!$M$43*Omkostninger!BE8)</f>
        <v>0.72700778956259293</v>
      </c>
      <c r="BF10">
        <f>+'Økonomi 2050'!$L$43*EXP('Økonomi 2050'!$M$43*Omkostninger!BF8)</f>
        <v>0.74043451191696807</v>
      </c>
      <c r="BG10">
        <f>+'Økonomi 2050'!$L$43*EXP('Økonomi 2050'!$M$43*Omkostninger!BG8)</f>
        <v>0.754109205305175</v>
      </c>
      <c r="BH10">
        <f>+'Økonomi 2050'!$L$43*EXP('Økonomi 2050'!$M$43*Omkostninger!BH8)</f>
        <v>0.76803644937308657</v>
      </c>
      <c r="BI10">
        <f>+'Økonomi 2050'!$L$43*EXP('Økonomi 2050'!$M$43*Omkostninger!BI8)</f>
        <v>0.78222090834563363</v>
      </c>
      <c r="BJ10">
        <f>+'Økonomi 2050'!$L$43*EXP('Økonomi 2050'!$M$43*Omkostninger!BJ8)</f>
        <v>0.79666733258884981</v>
      </c>
      <c r="BK10">
        <f>+'Økonomi 2050'!$L$43*EXP('Økonomi 2050'!$M$43*Omkostninger!BK8)</f>
        <v>0.8113805602007671</v>
      </c>
      <c r="BL10">
        <f>+'Økonomi 2050'!$L$43*EXP('Økonomi 2050'!$M$43*Omkostninger!BL8)</f>
        <v>0.82636551863169072</v>
      </c>
      <c r="BM10">
        <f>+'Økonomi 2050'!$L$43*EXP('Økonomi 2050'!$M$43*Omkostninger!BM8)</f>
        <v>0.8416272263343999</v>
      </c>
      <c r="BN10">
        <f>+'Økonomi 2050'!$L$43*EXP('Økonomi 2050'!$M$43*Omkostninger!BN8)</f>
        <v>0.85717079444482391</v>
      </c>
      <c r="BO10">
        <f>+'Økonomi 2050'!$L$43*EXP('Økonomi 2050'!$M$43*Omkostninger!BO8)</f>
        <v>0.87300142849375828</v>
      </c>
      <c r="BP10">
        <f>+'Økonomi 2050'!$L$43*EXP('Økonomi 2050'!$M$43*Omkostninger!BP8)</f>
        <v>0.88912443015019305</v>
      </c>
      <c r="BQ10">
        <f>+'Økonomi 2050'!$L$43*EXP('Økonomi 2050'!$M$43*Omkostninger!BQ8)</f>
        <v>0.90554519899683961</v>
      </c>
      <c r="BR10">
        <f>+'Økonomi 2050'!$L$43*EXP('Økonomi 2050'!$M$43*Omkostninger!BR8)</f>
        <v>0.92226923433844599</v>
      </c>
      <c r="BS10">
        <f>+'Økonomi 2050'!$L$43*EXP('Økonomi 2050'!$M$43*Omkostninger!BS8)</f>
        <v>0.93930213704351173</v>
      </c>
    </row>
    <row r="11" spans="1:71" x14ac:dyDescent="0.25">
      <c r="A11" t="s">
        <v>234</v>
      </c>
      <c r="B11">
        <f>+'Økonomi 2050'!$L$44*EXP('Økonomi 2050'!$M$44*Omkostninger!B8)</f>
        <v>0.16115756407508683</v>
      </c>
      <c r="C11">
        <f>+'Økonomi 2050'!$L$44*EXP('Økonomi 2050'!$M$44*Omkostninger!C8)</f>
        <v>0.1653199265347913</v>
      </c>
      <c r="D11">
        <f>+'Økonomi 2050'!$L$44*EXP('Økonomi 2050'!$M$44*Omkostninger!D8)</f>
        <v>0.1695897941019687</v>
      </c>
      <c r="E11">
        <f>+'Økonomi 2050'!$L$44*EXP('Økonomi 2050'!$M$44*Omkostninger!E8)</f>
        <v>0.17396994340845831</v>
      </c>
      <c r="F11">
        <f>+'Økonomi 2050'!$L$44*EXP('Økonomi 2050'!$M$44*Omkostninger!F8)</f>
        <v>0.17846322280068652</v>
      </c>
      <c r="G11">
        <f>+'Økonomi 2050'!$L$44*EXP('Økonomi 2050'!$M$44*Omkostninger!G8)</f>
        <v>0.1830725541919041</v>
      </c>
      <c r="H11">
        <f>+'Økonomi 2050'!$L$44*EXP('Økonomi 2050'!$M$44*Omkostninger!H8)</f>
        <v>0.18780093496226347</v>
      </c>
      <c r="I11">
        <f>+'Økonomi 2050'!$L$44*EXP('Økonomi 2050'!$M$44*Omkostninger!I8)</f>
        <v>0.19265143990797065</v>
      </c>
      <c r="J11">
        <f>+'Økonomi 2050'!$L$44*EXP('Økonomi 2050'!$M$44*Omkostninger!J8)</f>
        <v>0.19762722324077991</v>
      </c>
      <c r="K11">
        <f>+'Økonomi 2050'!$L$44*EXP('Økonomi 2050'!$M$44*Omkostninger!K8)</f>
        <v>0.20273152063913097</v>
      </c>
      <c r="L11">
        <f>+'Økonomi 2050'!$L$44*EXP('Økonomi 2050'!$M$44*Omkostninger!L8)</f>
        <v>0.20796765135226314</v>
      </c>
      <c r="M11">
        <f>+'Økonomi 2050'!$L$44*EXP('Økonomi 2050'!$M$44*Omkostninger!M8)</f>
        <v>0.21333902035867389</v>
      </c>
      <c r="N11">
        <f>+'Økonomi 2050'!$L$44*EXP('Økonomi 2050'!$M$44*Omkostninger!N8)</f>
        <v>0.21884912058032618</v>
      </c>
      <c r="O11">
        <f>+'Økonomi 2050'!$L$44*EXP('Økonomi 2050'!$M$44*Omkostninger!O8)</f>
        <v>0.22450153515404406</v>
      </c>
      <c r="P11">
        <f>+'Økonomi 2050'!$L$44*EXP('Økonomi 2050'!$M$44*Omkostninger!P8)</f>
        <v>0.23029993976157362</v>
      </c>
      <c r="Q11">
        <f>+'Økonomi 2050'!$L$44*EXP('Økonomi 2050'!$M$44*Omkostninger!Q8)</f>
        <v>0.23624810501982454</v>
      </c>
      <c r="R11">
        <f>+'Økonomi 2050'!$L$44*EXP('Økonomi 2050'!$M$44*Omkostninger!R8)</f>
        <v>0.2423498989328467</v>
      </c>
      <c r="S11">
        <f>+'Økonomi 2050'!$L$44*EXP('Økonomi 2050'!$M$44*Omkostninger!S8)</f>
        <v>0.248609289407136</v>
      </c>
      <c r="T11">
        <f>+'Økonomi 2050'!$L$44*EXP('Økonomi 2050'!$M$44*Omkostninger!T8)</f>
        <v>0.25503034683190529</v>
      </c>
      <c r="U11">
        <f>+'Økonomi 2050'!$L$44*EXP('Økonomi 2050'!$M$44*Omkostninger!U8)</f>
        <v>0.26161724672599873</v>
      </c>
      <c r="V11">
        <f>+'Økonomi 2050'!$L$44*EXP('Økonomi 2050'!$M$44*Omkostninger!V8)</f>
        <v>0.26837427245316958</v>
      </c>
      <c r="W11">
        <f>+'Økonomi 2050'!$L$44*EXP('Økonomi 2050'!$M$44*Omkostninger!W8)</f>
        <v>0.27530581800748877</v>
      </c>
      <c r="X11">
        <f>+'Økonomi 2050'!$L$44*EXP('Økonomi 2050'!$M$44*Omkostninger!X8)</f>
        <v>0.28241639087069426</v>
      </c>
      <c r="Y11">
        <f>+'Økonomi 2050'!$L$44*EXP('Økonomi 2050'!$M$44*Omkostninger!Y8)</f>
        <v>0.28971061494333977</v>
      </c>
      <c r="Z11">
        <f>+'Økonomi 2050'!$L$44*EXP('Økonomi 2050'!$M$44*Omkostninger!Z8)</f>
        <v>0.29719323355164917</v>
      </c>
      <c r="AA11">
        <f>+'Økonomi 2050'!$L$44*EXP('Økonomi 2050'!$M$44*Omkostninger!AA8)</f>
        <v>0.30486911253203153</v>
      </c>
      <c r="AB11">
        <f>+'Økonomi 2050'!$L$44*EXP('Økonomi 2050'!$M$44*Omkostninger!AB8)</f>
        <v>0.31274324339526244</v>
      </c>
      <c r="AC11">
        <f>+'Økonomi 2050'!$L$44*EXP('Økonomi 2050'!$M$44*Omkostninger!AC8)</f>
        <v>0.32082074657239007</v>
      </c>
      <c r="AD11">
        <f>+'Økonomi 2050'!$L$44*EXP('Økonomi 2050'!$M$44*Omkostninger!AD8)</f>
        <v>0.32910687474447581</v>
      </c>
      <c r="AE11">
        <f>+'Økonomi 2050'!$L$44*EXP('Økonomi 2050'!$M$44*Omkostninger!AE8)</f>
        <v>0.337607016258335</v>
      </c>
      <c r="AF11">
        <f>+'Økonomi 2050'!$L$44*EXP('Økonomi 2050'!$M$44*Omkostninger!AF8)</f>
        <v>0.34632669863049981</v>
      </c>
      <c r="AG11">
        <f>+'Økonomi 2050'!$L$44*EXP('Økonomi 2050'!$M$44*Omkostninger!AG8)</f>
        <v>0.3552715921416808</v>
      </c>
      <c r="AH11">
        <f>+'Økonomi 2050'!$L$44*EXP('Økonomi 2050'!$M$44*Omkostninger!AH8)</f>
        <v>0.36444751352406773</v>
      </c>
      <c r="AI11">
        <f>+'Økonomi 2050'!$L$44*EXP('Økonomi 2050'!$M$44*Omkostninger!AI8)</f>
        <v>0.37386042974386391</v>
      </c>
      <c r="AJ11">
        <f>+'Økonomi 2050'!$L$44*EXP('Økonomi 2050'!$M$44*Omkostninger!AJ8)</f>
        <v>0.3835164618815165</v>
      </c>
      <c r="AK11">
        <f>+'Økonomi 2050'!$L$44*EXP('Økonomi 2050'!$M$44*Omkostninger!AK8)</f>
        <v>0.39342188911216486</v>
      </c>
      <c r="AL11">
        <f>+'Økonomi 2050'!$L$44*EXP('Økonomi 2050'!$M$44*Omkostninger!AL8)</f>
        <v>0.40358315278889506</v>
      </c>
      <c r="AM11">
        <f>+'Økonomi 2050'!$L$44*EXP('Økonomi 2050'!$M$44*Omkostninger!AM8)</f>
        <v>0.41400686063145714</v>
      </c>
      <c r="AN11">
        <f>+'Økonomi 2050'!$L$44*EXP('Økonomi 2050'!$M$44*Omkostninger!AN8)</f>
        <v>0.42469979102316741</v>
      </c>
      <c r="AO11">
        <f>+'Økonomi 2050'!$L$44*EXP('Økonomi 2050'!$M$44*Omkostninger!AO8)</f>
        <v>0.43566889741879117</v>
      </c>
      <c r="AP11">
        <f>+'Økonomi 2050'!$L$44*EXP('Økonomi 2050'!$M$44*Omkostninger!AP8)</f>
        <v>0.44692131286627157</v>
      </c>
      <c r="AQ11">
        <f>+'Økonomi 2050'!$L$44*EXP('Økonomi 2050'!$M$44*Omkostninger!AQ8)</f>
        <v>0.45846435464524565</v>
      </c>
      <c r="AR11">
        <f>+'Økonomi 2050'!$L$44*EXP('Økonomi 2050'!$M$44*Omkostninger!AR8)</f>
        <v>0.47030552902536282</v>
      </c>
      <c r="AS11">
        <f>+'Økonomi 2050'!$L$44*EXP('Økonomi 2050'!$M$44*Omkostninger!AS8)</f>
        <v>0.48245253614750178</v>
      </c>
      <c r="AT11">
        <f>+'Økonomi 2050'!$L$44*EXP('Økonomi 2050'!$M$44*Omkostninger!AT8)</f>
        <v>0.49491327503105775</v>
      </c>
      <c r="AU11">
        <f>+'Økonomi 2050'!$L$44*EXP('Økonomi 2050'!$M$44*Omkostninger!AU8)</f>
        <v>0.50769584871055862</v>
      </c>
      <c r="AV11">
        <f>+'Økonomi 2050'!$L$44*EXP('Økonomi 2050'!$M$44*Omkostninger!AV8)</f>
        <v>0.52080856950494869</v>
      </c>
      <c r="AW11">
        <f>+'Økonomi 2050'!$L$44*EXP('Økonomi 2050'!$M$44*Omkostninger!AW8)</f>
        <v>0.53425996442296686</v>
      </c>
      <c r="AX11">
        <f>+'Økonomi 2050'!$L$44*EXP('Økonomi 2050'!$M$44*Omkostninger!AX8)</f>
        <v>0.54805878070813419</v>
      </c>
      <c r="AY11">
        <f>+'Økonomi 2050'!$L$44*EXP('Økonomi 2050'!$M$44*Omkostninger!AY8)</f>
        <v>0.56221399152695806</v>
      </c>
      <c r="AZ11">
        <f>+'Økonomi 2050'!$L$44*EXP('Økonomi 2050'!$M$44*Omkostninger!AZ8)</f>
        <v>0.57673480180404879</v>
      </c>
      <c r="BA11">
        <f>+'Økonomi 2050'!$L$44*EXP('Økonomi 2050'!$M$44*Omkostninger!BA8)</f>
        <v>0.59163065420794714</v>
      </c>
      <c r="BB11">
        <f>+'Økonomi 2050'!$L$44*EXP('Økonomi 2050'!$M$44*Omkostninger!BB8)</f>
        <v>0.60691123529155178</v>
      </c>
      <c r="BC11">
        <f>+'Økonomi 2050'!$L$44*EXP('Økonomi 2050'!$M$44*Omkostninger!BC8)</f>
        <v>0.62258648179114173</v>
      </c>
      <c r="BD11">
        <f>+'Økonomi 2050'!$L$44*EXP('Økonomi 2050'!$M$44*Omkostninger!BD8)</f>
        <v>0.63866658708808921</v>
      </c>
      <c r="BE11">
        <f>+'Økonomi 2050'!$L$44*EXP('Økonomi 2050'!$M$44*Omkostninger!BE8)</f>
        <v>0.65516200783746503</v>
      </c>
      <c r="BF11">
        <f>+'Økonomi 2050'!$L$44*EXP('Økonomi 2050'!$M$44*Omkostninger!BF8)</f>
        <v>0.67208347076784714</v>
      </c>
      <c r="BG11">
        <f>+'Økonomi 2050'!$L$44*EXP('Økonomi 2050'!$M$44*Omkostninger!BG8)</f>
        <v>0.68944197965675424</v>
      </c>
      <c r="BH11">
        <f>+'Økonomi 2050'!$L$44*EXP('Økonomi 2050'!$M$44*Omkostninger!BH8)</f>
        <v>0.70724882248623844</v>
      </c>
      <c r="BI11">
        <f>+'Økonomi 2050'!$L$44*EXP('Økonomi 2050'!$M$44*Omkostninger!BI8)</f>
        <v>0.72551557878329542</v>
      </c>
      <c r="BJ11">
        <f>+'Økonomi 2050'!$L$44*EXP('Økonomi 2050'!$M$44*Omkostninger!BJ8)</f>
        <v>0.74425412714985772</v>
      </c>
      <c r="BK11">
        <f>+'Økonomi 2050'!$L$44*EXP('Økonomi 2050'!$M$44*Omkostninger!BK8)</f>
        <v>0.76347665298727574</v>
      </c>
      <c r="BL11">
        <f>+'Økonomi 2050'!$L$44*EXP('Økonomi 2050'!$M$44*Omkostninger!BL8)</f>
        <v>0.78319565642030364</v>
      </c>
      <c r="BM11">
        <f>+'Økonomi 2050'!$L$44*EXP('Økonomi 2050'!$M$44*Omkostninger!BM8)</f>
        <v>0.8034239604257466</v>
      </c>
      <c r="BN11">
        <f>+'Økonomi 2050'!$L$44*EXP('Økonomi 2050'!$M$44*Omkostninger!BN8)</f>
        <v>0.82417471917105223</v>
      </c>
      <c r="BO11">
        <f>+'Økonomi 2050'!$L$44*EXP('Økonomi 2050'!$M$44*Omkostninger!BO8)</f>
        <v>0.84546142656827217</v>
      </c>
      <c r="BP11">
        <f>+'Økonomi 2050'!$L$44*EXP('Økonomi 2050'!$M$44*Omkostninger!BP8)</f>
        <v>0.86729792504895376</v>
      </c>
      <c r="BQ11">
        <f>+'Økonomi 2050'!$L$44*EXP('Økonomi 2050'!$M$44*Omkostninger!BQ8)</f>
        <v>0.88969841456566912</v>
      </c>
      <c r="BR11">
        <f>+'Økonomi 2050'!$L$44*EXP('Økonomi 2050'!$M$44*Omkostninger!BR8)</f>
        <v>0.91267746182603426</v>
      </c>
      <c r="BS11">
        <f>+'Økonomi 2050'!$L$44*EXP('Økonomi 2050'!$M$44*Omkostninger!BS8)</f>
        <v>0.9362500097652241</v>
      </c>
    </row>
    <row r="12" spans="1:71" x14ac:dyDescent="0.25">
      <c r="A12" t="s">
        <v>235</v>
      </c>
      <c r="B12">
        <f>+'Økonomi 2050'!$L$49*EXP('Økonomi 2050'!$M$49*Omkostninger!B8)</f>
        <v>6.8050504493520958E-2</v>
      </c>
      <c r="C12">
        <f>+'Økonomi 2050'!$L$49*EXP('Økonomi 2050'!$M$49*Omkostninger!C8)</f>
        <v>7.0700323081262811E-2</v>
      </c>
      <c r="D12">
        <f>+'Økonomi 2050'!$L$49*EXP('Økonomi 2050'!$M$49*Omkostninger!D8)</f>
        <v>7.3453322954730657E-2</v>
      </c>
      <c r="E12">
        <f>+'Økonomi 2050'!$L$49*EXP('Økonomi 2050'!$M$49*Omkostninger!E8)</f>
        <v>7.6313521889999139E-2</v>
      </c>
      <c r="F12">
        <f>+'Økonomi 2050'!$L$49*EXP('Økonomi 2050'!$M$49*Omkostninger!F8)</f>
        <v>7.9285094111325116E-2</v>
      </c>
      <c r="G12">
        <f>+'Økonomi 2050'!$L$49*EXP('Økonomi 2050'!$M$49*Omkostninger!G8)</f>
        <v>8.2372376383083382E-2</v>
      </c>
      <c r="H12">
        <f>+'Økonomi 2050'!$L$49*EXP('Økonomi 2050'!$M$49*Omkostninger!H8)</f>
        <v>8.5579874338916243E-2</v>
      </c>
      <c r="I12">
        <f>+'Økonomi 2050'!$L$49*EXP('Økonomi 2050'!$M$49*Omkostninger!I8)</f>
        <v>8.8912269057334001E-2</v>
      </c>
      <c r="J12">
        <f>+'Økonomi 2050'!$L$49*EXP('Økonomi 2050'!$M$49*Omkostninger!J8)</f>
        <v>9.2374423893362617E-2</v>
      </c>
      <c r="K12">
        <f>+'Økonomi 2050'!$L$49*EXP('Økonomi 2050'!$M$49*Omkostninger!K8)</f>
        <v>9.5971391576208875E-2</v>
      </c>
      <c r="L12">
        <f>+'Økonomi 2050'!$L$49*EXP('Økonomi 2050'!$M$49*Omkostninger!L8)</f>
        <v>9.9708421583301676E-2</v>
      </c>
      <c r="M12">
        <f>+'Økonomi 2050'!$L$49*EXP('Økonomi 2050'!$M$49*Omkostninger!M8)</f>
        <v>0.10359096780147102</v>
      </c>
      <c r="N12">
        <f>+'Økonomi 2050'!$L$49*EXP('Økonomi 2050'!$M$49*Omkostninger!N8)</f>
        <v>0.1076246964864456</v>
      </c>
      <c r="O12">
        <f>+'Økonomi 2050'!$L$49*EXP('Økonomi 2050'!$M$49*Omkostninger!O8)</f>
        <v>0.11181549453228543</v>
      </c>
      <c r="P12">
        <f>+'Økonomi 2050'!$L$49*EXP('Økonomi 2050'!$M$49*Omkostninger!P8)</f>
        <v>0.11616947806281763</v>
      </c>
      <c r="Q12">
        <f>+'Økonomi 2050'!$L$49*EXP('Økonomi 2050'!$M$49*Omkostninger!Q8)</f>
        <v>0.12069300135761457</v>
      </c>
      <c r="R12">
        <f>+'Økonomi 2050'!$L$49*EXP('Økonomi 2050'!$M$49*Omkostninger!R8)</f>
        <v>0.12539266612554015</v>
      </c>
      <c r="S12">
        <f>+'Økonomi 2050'!$L$49*EXP('Økonomi 2050'!$M$49*Omkostninger!S8)</f>
        <v>0.13027533113939913</v>
      </c>
      <c r="T12">
        <f>+'Økonomi 2050'!$L$49*EXP('Økonomi 2050'!$M$49*Omkostninger!T8)</f>
        <v>0.13534812224574974</v>
      </c>
      <c r="U12">
        <f>+'Økonomi 2050'!$L$49*EXP('Økonomi 2050'!$M$49*Omkostninger!U8)</f>
        <v>0.14061844276448879</v>
      </c>
      <c r="V12">
        <f>+'Økonomi 2050'!$L$49*EXP('Økonomi 2050'!$M$49*Omkostninger!V8)</f>
        <v>0.14609398429338569</v>
      </c>
      <c r="W12">
        <f>+'Økonomi 2050'!$L$49*EXP('Økonomi 2050'!$M$49*Omkostninger!W8)</f>
        <v>0.15178273793333466</v>
      </c>
      <c r="X12">
        <f>+'Økonomi 2050'!$L$49*EXP('Økonomi 2050'!$M$49*Omkostninger!X8)</f>
        <v>0.15769300595070693</v>
      </c>
      <c r="Y12">
        <f>+'Økonomi 2050'!$L$49*EXP('Økonomi 2050'!$M$49*Omkostninger!Y8)</f>
        <v>0.163833413893823</v>
      </c>
      <c r="Z12">
        <f>+'Økonomi 2050'!$L$49*EXP('Økonomi 2050'!$M$49*Omkostninger!Z8)</f>
        <v>0.17021292318122869</v>
      </c>
      <c r="AA12">
        <f>+'Økonomi 2050'!$L$49*EXP('Økonomi 2050'!$M$49*Omkostninger!AA8)</f>
        <v>0.17684084418014562</v>
      </c>
      <c r="AB12">
        <f>+'Økonomi 2050'!$L$49*EXP('Økonomi 2050'!$M$49*Omkostninger!AB8)</f>
        <v>0.18372684979418377</v>
      </c>
      <c r="AC12">
        <f>+'Økonomi 2050'!$L$49*EXP('Økonomi 2050'!$M$49*Omkostninger!AC8)</f>
        <v>0.19088098958014579</v>
      </c>
      <c r="AD12">
        <f>+'Økonomi 2050'!$L$49*EXP('Økonomi 2050'!$M$49*Omkostninger!AD8)</f>
        <v>0.19831370441452573</v>
      </c>
      <c r="AE12">
        <f>+'Økonomi 2050'!$L$49*EXP('Økonomi 2050'!$M$49*Omkostninger!AE8)</f>
        <v>0.20603584173110637</v>
      </c>
      <c r="AF12">
        <f>+'Økonomi 2050'!$L$49*EXP('Økonomi 2050'!$M$49*Omkostninger!AF8)</f>
        <v>0.21405867135189352</v>
      </c>
      <c r="AG12">
        <f>+'Økonomi 2050'!$L$49*EXP('Økonomi 2050'!$M$49*Omkostninger!AG8)</f>
        <v>0.22239390193449088</v>
      </c>
      <c r="AH12">
        <f>+'Økonomi 2050'!$L$49*EXP('Økonomi 2050'!$M$49*Omkostninger!AH8)</f>
        <v>0.23105369805991952</v>
      </c>
      <c r="AI12">
        <f>+'Økonomi 2050'!$L$49*EXP('Økonomi 2050'!$M$49*Omkostninger!AI8)</f>
        <v>0.2400506979858196</v>
      </c>
      <c r="AJ12">
        <f>+'Økonomi 2050'!$L$49*EXP('Økonomi 2050'!$M$49*Omkostninger!AJ8)</f>
        <v>0.24939803209094438</v>
      </c>
      <c r="AK12">
        <f>+'Økonomi 2050'!$L$49*EXP('Økonomi 2050'!$M$49*Omkostninger!AK8)</f>
        <v>0.25910934203786401</v>
      </c>
      <c r="AL12">
        <f>+'Økonomi 2050'!$L$49*EXP('Økonomi 2050'!$M$49*Omkostninger!AL8)</f>
        <v>0.26919880068184615</v>
      </c>
      <c r="AM12">
        <f>+'Økonomi 2050'!$L$49*EXP('Økonomi 2050'!$M$49*Omkostninger!AM8)</f>
        <v>0.2796811327549682</v>
      </c>
      <c r="AN12">
        <f>+'Økonomi 2050'!$L$49*EXP('Økonomi 2050'!$M$49*Omkostninger!AN8)</f>
        <v>0.29057163635564875</v>
      </c>
      <c r="AO12">
        <f>+'Økonomi 2050'!$L$49*EXP('Økonomi 2050'!$M$49*Omkostninger!AO8)</f>
        <v>0.30188620527495891</v>
      </c>
      <c r="AP12">
        <f>+'Økonomi 2050'!$L$49*EXP('Økonomi 2050'!$M$49*Omkostninger!AP8)</f>
        <v>0.31364135219229883</v>
      </c>
      <c r="AQ12">
        <f>+'Økonomi 2050'!$L$49*EXP('Økonomi 2050'!$M$49*Omkostninger!AQ8)</f>
        <v>0.32585423277429038</v>
      </c>
      <c r="AR12">
        <f>+'Økonomi 2050'!$L$49*EXP('Økonomi 2050'!$M$49*Omkostninger!AR8)</f>
        <v>0.33854267071205596</v>
      </c>
      <c r="AS12">
        <f>+'Økonomi 2050'!$L$49*EXP('Økonomi 2050'!$M$49*Omkostninger!AS8)</f>
        <v>0.35172518373342515</v>
      </c>
      <c r="AT12">
        <f>+'Økonomi 2050'!$L$49*EXP('Økonomi 2050'!$M$49*Omkostninger!AT8)</f>
        <v>0.3654210106280294</v>
      </c>
      <c r="AU12">
        <f>+'Økonomi 2050'!$L$49*EXP('Økonomi 2050'!$M$49*Omkostninger!AU8)</f>
        <v>0.37965013932472802</v>
      </c>
      <c r="AV12">
        <f>+'Økonomi 2050'!$L$49*EXP('Økonomi 2050'!$M$49*Omkostninger!AV8)</f>
        <v>0.39443333606233977</v>
      </c>
      <c r="AW12">
        <f>+'Økonomi 2050'!$L$49*EXP('Økonomi 2050'!$M$49*Omkostninger!AW8)</f>
        <v>0.40979217569625509</v>
      </c>
      <c r="AX12">
        <f>+'Økonomi 2050'!$L$49*EXP('Økonomi 2050'!$M$49*Omkostninger!AX8)</f>
        <v>0.4257490731851562</v>
      </c>
      <c r="AY12">
        <f>+'Økonomi 2050'!$L$49*EXP('Økonomi 2050'!$M$49*Omkostninger!AY8)</f>
        <v>0.44232731630379929</v>
      </c>
      <c r="AZ12">
        <f>+'Økonomi 2050'!$L$49*EXP('Økonomi 2050'!$M$49*Omkostninger!AZ8)</f>
        <v>0.45955109962959928</v>
      </c>
      <c r="BA12">
        <f>+'Økonomi 2050'!$L$49*EXP('Økonomi 2050'!$M$49*Omkostninger!BA8)</f>
        <v>0.47744555985261888</v>
      </c>
      <c r="BB12">
        <f>+'Økonomi 2050'!$L$49*EXP('Økonomi 2050'!$M$49*Omkostninger!BB8)</f>
        <v>0.49603681246049258</v>
      </c>
      <c r="BC12">
        <f>+'Økonomi 2050'!$L$49*EXP('Økonomi 2050'!$M$49*Omkostninger!BC8)</f>
        <v>0.5153519898518254</v>
      </c>
      <c r="BD12">
        <f>+'Økonomi 2050'!$L$49*EXP('Økonomi 2050'!$M$49*Omkostninger!BD8)</f>
        <v>0.53541928093368862</v>
      </c>
      <c r="BE12">
        <f>+'Økonomi 2050'!$L$49*EXP('Økonomi 2050'!$M$49*Omkostninger!BE8)</f>
        <v>0.55626797226100355</v>
      </c>
      <c r="BF12">
        <f>+'Økonomi 2050'!$L$49*EXP('Økonomi 2050'!$M$49*Omkostninger!BF8)</f>
        <v>0.57792849077785013</v>
      </c>
      <c r="BG12">
        <f>+'Økonomi 2050'!$L$49*EXP('Økonomi 2050'!$M$49*Omkostninger!BG8)</f>
        <v>0.60043244822308217</v>
      </c>
      <c r="BH12">
        <f>+'Økonomi 2050'!$L$49*EXP('Økonomi 2050'!$M$49*Omkostninger!BH8)</f>
        <v>0.62381268726504768</v>
      </c>
      <c r="BI12">
        <f>+'Økonomi 2050'!$L$49*EXP('Økonomi 2050'!$M$49*Omkostninger!BI8)</f>
        <v>0.64810332943275595</v>
      </c>
      <c r="BJ12">
        <f>+'Økonomi 2050'!$L$49*EXP('Økonomi 2050'!$M$49*Omkostninger!BJ8)</f>
        <v>0.67333982491342981</v>
      </c>
      <c r="BK12">
        <f>+'Økonomi 2050'!$L$49*EXP('Økonomi 2050'!$M$49*Omkostninger!BK8)</f>
        <v>0.69955900428912909</v>
      </c>
      <c r="BL12">
        <f>+'Økonomi 2050'!$L$49*EXP('Økonomi 2050'!$M$49*Omkostninger!BL8)</f>
        <v>0.72679913228794546</v>
      </c>
      <c r="BM12">
        <f>+'Økonomi 2050'!$L$49*EXP('Økonomi 2050'!$M$49*Omkostninger!BM8)</f>
        <v>0.75509996362821286</v>
      </c>
      <c r="BN12">
        <f>+'Økonomi 2050'!$L$49*EXP('Økonomi 2050'!$M$49*Omkostninger!BN8)</f>
        <v>0.78450280103723991</v>
      </c>
      <c r="BO12">
        <f>+'Økonomi 2050'!$L$49*EXP('Økonomi 2050'!$M$49*Omkostninger!BO8)</f>
        <v>0.81505055552922823</v>
      </c>
      <c r="BP12">
        <f>+'Økonomi 2050'!$L$49*EXP('Økonomi 2050'!$M$49*Omkostninger!BP8)</f>
        <v>0.84678780903035877</v>
      </c>
      <c r="BQ12">
        <f>+'Økonomi 2050'!$L$49*EXP('Økonomi 2050'!$M$49*Omkostninger!BQ8)</f>
        <v>0.8797608794424302</v>
      </c>
      <c r="BR12">
        <f>+'Økonomi 2050'!$L$49*EXP('Økonomi 2050'!$M$49*Omkostninger!BR8)</f>
        <v>0.91401788824001562</v>
      </c>
      <c r="BS12">
        <f>+'Økonomi 2050'!$L$49*EXP('Økonomi 2050'!$M$49*Omkostninger!BS8)</f>
        <v>0.94960883069978197</v>
      </c>
    </row>
    <row r="13" spans="1:71" x14ac:dyDescent="0.25">
      <c r="A13" t="s">
        <v>236</v>
      </c>
      <c r="B13">
        <f>+'Økonomi 2050'!$L$48*EXP('Økonomi 2050'!$M$48*Omkostninger!B8)</f>
        <v>0.13263954828076846</v>
      </c>
      <c r="C13">
        <f>+'Økonomi 2050'!$L$48*EXP('Økonomi 2050'!$M$48*Omkostninger!C8)</f>
        <v>0.13606535010151824</v>
      </c>
      <c r="D13">
        <f>+'Økonomi 2050'!$L$48*EXP('Økonomi 2050'!$M$48*Omkostninger!D8)</f>
        <v>0.13957963321059549</v>
      </c>
      <c r="E13">
        <f>+'Økonomi 2050'!$L$48*EXP('Økonomi 2050'!$M$48*Omkostninger!E8)</f>
        <v>0.14318468289442179</v>
      </c>
      <c r="F13">
        <f>+'Økonomi 2050'!$L$48*EXP('Økonomi 2050'!$M$48*Omkostninger!F8)</f>
        <v>0.14688284346358224</v>
      </c>
      <c r="G13">
        <f>+'Økonomi 2050'!$L$48*EXP('Økonomi 2050'!$M$48*Omkostninger!G8)</f>
        <v>0.15067651977729599</v>
      </c>
      <c r="H13">
        <f>+'Økonomi 2050'!$L$48*EXP('Økonomi 2050'!$M$48*Omkostninger!H8)</f>
        <v>0.15456817880726079</v>
      </c>
      <c r="I13">
        <f>+'Økonomi 2050'!$L$48*EXP('Økonomi 2050'!$M$48*Omkostninger!I8)</f>
        <v>0.15856035124188803</v>
      </c>
      <c r="J13">
        <f>+'Økonomi 2050'!$L$48*EXP('Økonomi 2050'!$M$48*Omkostninger!J8)</f>
        <v>0.16265563313197226</v>
      </c>
      <c r="K13">
        <f>+'Økonomi 2050'!$L$48*EXP('Økonomi 2050'!$M$48*Omkostninger!K8)</f>
        <v>0.16685668757886465</v>
      </c>
      <c r="L13">
        <f>+'Økonomi 2050'!$L$48*EXP('Økonomi 2050'!$M$48*Omkostninger!L8)</f>
        <v>0.17116624646624842</v>
      </c>
      <c r="M13">
        <f>+'Økonomi 2050'!$L$48*EXP('Økonomi 2050'!$M$48*Omkostninger!M8)</f>
        <v>0.1755871122366425</v>
      </c>
      <c r="N13">
        <f>+'Økonomi 2050'!$L$48*EXP('Økonomi 2050'!$M$48*Omkostninger!N8)</f>
        <v>0.18012215971378853</v>
      </c>
      <c r="O13">
        <f>+'Økonomi 2050'!$L$48*EXP('Økonomi 2050'!$M$48*Omkostninger!O8)</f>
        <v>0.1847743379721063</v>
      </c>
      <c r="P13">
        <f>+'Økonomi 2050'!$L$48*EXP('Økonomi 2050'!$M$48*Omkostninger!P8)</f>
        <v>0.18954667225443328</v>
      </c>
      <c r="Q13">
        <f>+'Økonomi 2050'!$L$48*EXP('Økonomi 2050'!$M$48*Omkostninger!Q8)</f>
        <v>0.19444226593929545</v>
      </c>
      <c r="R13">
        <f>+'Økonomi 2050'!$L$48*EXP('Økonomi 2050'!$M$48*Omkostninger!R8)</f>
        <v>0.19946430255898842</v>
      </c>
      <c r="S13">
        <f>+'Økonomi 2050'!$L$48*EXP('Økonomi 2050'!$M$48*Omkostninger!S8)</f>
        <v>0.20461604786978158</v>
      </c>
      <c r="T13">
        <f>+'Økonomi 2050'!$L$48*EXP('Økonomi 2050'!$M$48*Omkostninger!T8)</f>
        <v>0.20990085197559108</v>
      </c>
      <c r="U13">
        <f>+'Økonomi 2050'!$L$48*EXP('Økonomi 2050'!$M$48*Omkostninger!U8)</f>
        <v>0.21532215150650311</v>
      </c>
      <c r="V13">
        <f>+'Økonomi 2050'!$L$48*EXP('Økonomi 2050'!$M$48*Omkostninger!V8)</f>
        <v>0.2208834718535635</v>
      </c>
      <c r="W13">
        <f>+'Økonomi 2050'!$L$48*EXP('Økonomi 2050'!$M$48*Omkostninger!W8)</f>
        <v>0.22658842946128771</v>
      </c>
      <c r="X13">
        <f>+'Økonomi 2050'!$L$48*EXP('Økonomi 2050'!$M$48*Omkostninger!X8)</f>
        <v>0.2324407341793811</v>
      </c>
      <c r="Y13">
        <f>+'Økonomi 2050'!$L$48*EXP('Økonomi 2050'!$M$48*Omkostninger!Y8)</f>
        <v>0.23844419167519945</v>
      </c>
      <c r="Z13">
        <f>+'Økonomi 2050'!$L$48*EXP('Økonomi 2050'!$M$48*Omkostninger!Z8)</f>
        <v>0.2446027059085184</v>
      </c>
      <c r="AA13">
        <f>+'Økonomi 2050'!$L$48*EXP('Økonomi 2050'!$M$48*Omkostninger!AA8)</f>
        <v>0.25092028167022074</v>
      </c>
      <c r="AB13">
        <f>+'Økonomi 2050'!$L$48*EXP('Økonomi 2050'!$M$48*Omkostninger!AB8)</f>
        <v>0.25740102718655272</v>
      </c>
      <c r="AC13">
        <f>+'Økonomi 2050'!$L$48*EXP('Økonomi 2050'!$M$48*Omkostninger!AC8)</f>
        <v>0.26404915679064311</v>
      </c>
      <c r="AD13">
        <f>+'Økonomi 2050'!$L$48*EXP('Økonomi 2050'!$M$48*Omkostninger!AD8)</f>
        <v>0.27086899366302181</v>
      </c>
      <c r="AE13">
        <f>+'Økonomi 2050'!$L$48*EXP('Økonomi 2050'!$M$48*Omkostninger!AE8)</f>
        <v>0.27786497264291993</v>
      </c>
      <c r="AF13">
        <f>+'Økonomi 2050'!$L$48*EXP('Økonomi 2050'!$M$48*Omkostninger!AF8)</f>
        <v>0.28504164311218094</v>
      </c>
      <c r="AG13">
        <f>+'Økonomi 2050'!$L$48*EXP('Økonomi 2050'!$M$48*Omkostninger!AG8)</f>
        <v>0.2924036719536558</v>
      </c>
      <c r="AH13">
        <f>+'Økonomi 2050'!$L$48*EXP('Økonomi 2050'!$M$48*Omkostninger!AH8)</f>
        <v>0.29995584658600866</v>
      </c>
      <c r="AI13">
        <f>+'Økonomi 2050'!$L$48*EXP('Økonomi 2050'!$M$48*Omkostninger!AI8)</f>
        <v>0.30770307807690395</v>
      </c>
      <c r="AJ13">
        <f>+'Økonomi 2050'!$L$48*EXP('Økonomi 2050'!$M$48*Omkostninger!AJ8)</f>
        <v>0.31565040433660141</v>
      </c>
      <c r="AK13">
        <f>+'Økonomi 2050'!$L$48*EXP('Økonomi 2050'!$M$48*Omkostninger!AK8)</f>
        <v>0.32380299339403512</v>
      </c>
      <c r="AL13">
        <f>+'Økonomi 2050'!$L$48*EXP('Økonomi 2050'!$M$48*Omkostninger!AL8)</f>
        <v>0.33216614675750561</v>
      </c>
      <c r="AM13">
        <f>+'Økonomi 2050'!$L$48*EXP('Økonomi 2050'!$M$48*Omkostninger!AM8)</f>
        <v>0.34074530286217319</v>
      </c>
      <c r="AN13">
        <f>+'Økonomi 2050'!$L$48*EXP('Økonomi 2050'!$M$48*Omkostninger!AN8)</f>
        <v>0.34954604060659167</v>
      </c>
      <c r="AO13">
        <f>+'Økonomi 2050'!$L$48*EXP('Økonomi 2050'!$M$48*Omkostninger!AO8)</f>
        <v>0.35857408298058369</v>
      </c>
      <c r="AP13">
        <f>+'Økonomi 2050'!$L$48*EXP('Økonomi 2050'!$M$48*Omkostninger!AP8)</f>
        <v>0.36783530078681681</v>
      </c>
      <c r="AQ13">
        <f>+'Økonomi 2050'!$L$48*EXP('Økonomi 2050'!$M$48*Omkostninger!AQ8)</f>
        <v>0.3773357164584995</v>
      </c>
      <c r="AR13">
        <f>+'Økonomi 2050'!$L$48*EXP('Økonomi 2050'!$M$48*Omkostninger!AR8)</f>
        <v>0.38708150797568058</v>
      </c>
      <c r="AS13">
        <f>+'Økonomi 2050'!$L$48*EXP('Økonomi 2050'!$M$48*Omkostninger!AS8)</f>
        <v>0.39707901288269881</v>
      </c>
      <c r="AT13">
        <f>+'Økonomi 2050'!$L$48*EXP('Økonomi 2050'!$M$48*Omkostninger!AT8)</f>
        <v>0.40733473240939383</v>
      </c>
      <c r="AU13">
        <f>+'Økonomi 2050'!$L$48*EXP('Økonomi 2050'!$M$48*Omkostninger!AU8)</f>
        <v>0.41785533569876027</v>
      </c>
      <c r="AV13">
        <f>+'Økonomi 2050'!$L$48*EXP('Økonomi 2050'!$M$48*Omkostninger!AV8)</f>
        <v>0.42864766414379296</v>
      </c>
      <c r="AW13">
        <f>+'Økonomi 2050'!$L$48*EXP('Økonomi 2050'!$M$48*Omkostninger!AW8)</f>
        <v>0.43971873583634385</v>
      </c>
      <c r="AX13">
        <f>+'Økonomi 2050'!$L$48*EXP('Økonomi 2050'!$M$48*Omkostninger!AX8)</f>
        <v>0.45107575013088325</v>
      </c>
      <c r="AY13">
        <f>+'Økonomi 2050'!$L$48*EXP('Økonomi 2050'!$M$48*Omkostninger!AY8)</f>
        <v>0.46272609232613415</v>
      </c>
      <c r="AZ13">
        <f>+'Økonomi 2050'!$L$48*EXP('Økonomi 2050'!$M$48*Omkostninger!AZ8)</f>
        <v>0.47467733846762261</v>
      </c>
      <c r="BA13">
        <f>+'Økonomi 2050'!$L$48*EXP('Økonomi 2050'!$M$48*Omkostninger!BA8)</f>
        <v>0.48693726027426842</v>
      </c>
      <c r="BB13">
        <f>+'Økonomi 2050'!$L$48*EXP('Økonomi 2050'!$M$48*Omkostninger!BB8)</f>
        <v>0.49951383019221929</v>
      </c>
      <c r="BC13">
        <f>+'Økonomi 2050'!$L$48*EXP('Økonomi 2050'!$M$48*Omkostninger!BC8)</f>
        <v>0.51241522657921468</v>
      </c>
      <c r="BD13">
        <f>+'Økonomi 2050'!$L$48*EXP('Økonomi 2050'!$M$48*Omkostninger!BD8)</f>
        <v>0.52564983902285134</v>
      </c>
      <c r="BE13">
        <f>+'Økonomi 2050'!$L$48*EXP('Økonomi 2050'!$M$48*Omkostninger!BE8)</f>
        <v>0.53922627379620769</v>
      </c>
      <c r="BF13">
        <f>+'Økonomi 2050'!$L$48*EXP('Økonomi 2050'!$M$48*Omkostninger!BF8)</f>
        <v>0.55315335945437716</v>
      </c>
      <c r="BG13">
        <f>+'Økonomi 2050'!$L$48*EXP('Økonomi 2050'!$M$48*Omkostninger!BG8)</f>
        <v>0.56744015257554625</v>
      </c>
      <c r="BH13">
        <f>+'Økonomi 2050'!$L$48*EXP('Økonomi 2050'!$M$48*Omkostninger!BH8)</f>
        <v>0.58209594365035422</v>
      </c>
      <c r="BI13">
        <f>+'Økonomi 2050'!$L$48*EXP('Økonomi 2050'!$M$48*Omkostninger!BI8)</f>
        <v>0.59713026312336159</v>
      </c>
      <c r="BJ13">
        <f>+'Økonomi 2050'!$L$48*EXP('Økonomi 2050'!$M$48*Omkostninger!BJ8)</f>
        <v>0.6125528875905577</v>
      </c>
      <c r="BK13">
        <f>+'Økonomi 2050'!$L$48*EXP('Økonomi 2050'!$M$48*Omkostninger!BK8)</f>
        <v>0.6283738461569367</v>
      </c>
      <c r="BL13">
        <f>+'Økonomi 2050'!$L$48*EXP('Økonomi 2050'!$M$48*Omkostninger!BL8)</f>
        <v>0.64460342695827677</v>
      </c>
      <c r="BM13">
        <f>+'Økonomi 2050'!$L$48*EXP('Økonomi 2050'!$M$48*Omkostninger!BM8)</f>
        <v>0.66125218385136242</v>
      </c>
      <c r="BN13">
        <f>+'Økonomi 2050'!$L$48*EXP('Økonomi 2050'!$M$48*Omkostninger!BN8)</f>
        <v>0.67833094327700227</v>
      </c>
      <c r="BO13">
        <f>+'Økonomi 2050'!$L$48*EXP('Økonomi 2050'!$M$48*Omkostninger!BO8)</f>
        <v>0.69585081130030291</v>
      </c>
      <c r="BP13">
        <f>+'Økonomi 2050'!$L$48*EXP('Økonomi 2050'!$M$48*Omkostninger!BP8)</f>
        <v>0.71382318083277996</v>
      </c>
      <c r="BQ13">
        <f>+'Økonomi 2050'!$L$48*EXP('Økonomi 2050'!$M$48*Omkostninger!BQ8)</f>
        <v>0.7322597390409995</v>
      </c>
      <c r="BR13">
        <f>+'Økonomi 2050'!$L$48*EXP('Økonomi 2050'!$M$48*Omkostninger!BR8)</f>
        <v>0.75117247494657058</v>
      </c>
      <c r="BS13">
        <f>+'Økonomi 2050'!$L$48*EXP('Økonomi 2050'!$M$48*Omkostninger!BS8)</f>
        <v>0.77057368722242825</v>
      </c>
    </row>
    <row r="14" spans="1:71" x14ac:dyDescent="0.25">
      <c r="A14" t="s">
        <v>237</v>
      </c>
      <c r="B14">
        <f>+'Økonomi 2050'!$L$54*EXP('Økonomi 2050'!$M$54*Omkostninger!B8)</f>
        <v>8.0723031198737E-2</v>
      </c>
      <c r="C14">
        <f>+'Økonomi 2050'!$L$54*EXP('Økonomi 2050'!$M$54*Omkostninger!C8)</f>
        <v>8.3114894973370768E-2</v>
      </c>
      <c r="D14">
        <f>+'Økonomi 2050'!$L$54*EXP('Økonomi 2050'!$M$54*Omkostninger!D8)</f>
        <v>8.5577630867540277E-2</v>
      </c>
      <c r="E14">
        <f>+'Økonomi 2050'!$L$54*EXP('Økonomi 2050'!$M$54*Omkostninger!E8)</f>
        <v>8.8113338857582296E-2</v>
      </c>
      <c r="F14">
        <f>+'Økonomi 2050'!$L$54*EXP('Økonomi 2050'!$M$54*Omkostninger!F8)</f>
        <v>9.0724181143182411E-2</v>
      </c>
      <c r="G14">
        <f>+'Økonomi 2050'!$L$54*EXP('Økonomi 2050'!$M$54*Omkostninger!G8)</f>
        <v>9.3412383991083953E-2</v>
      </c>
      <c r="H14">
        <f>+'Økonomi 2050'!$L$54*EXP('Økonomi 2050'!$M$54*Omkostninger!H8)</f>
        <v>9.6180239633426937E-2</v>
      </c>
      <c r="I14">
        <f>+'Økonomi 2050'!$L$54*EXP('Økonomi 2050'!$M$54*Omkostninger!I8)</f>
        <v>9.9030108222335753E-2</v>
      </c>
      <c r="J14">
        <f>+'Økonomi 2050'!$L$54*EXP('Økonomi 2050'!$M$54*Omkostninger!J8)</f>
        <v>0.10196441984242234</v>
      </c>
      <c r="K14">
        <f>+'Økonomi 2050'!$L$54*EXP('Økonomi 2050'!$M$54*Omkostninger!K8)</f>
        <v>0.10498567658292063</v>
      </c>
      <c r="L14">
        <f>+'Økonomi 2050'!$L$54*EXP('Økonomi 2050'!$M$54*Omkostninger!L8)</f>
        <v>0.10809645467121957</v>
      </c>
      <c r="M14">
        <f>+'Økonomi 2050'!$L$54*EXP('Økonomi 2050'!$M$54*Omkostninger!M8)</f>
        <v>0.11129940666961376</v>
      </c>
      <c r="N14">
        <f>+'Økonomi 2050'!$L$54*EXP('Økonomi 2050'!$M$54*Omkostninger!N8)</f>
        <v>0.11459726373714475</v>
      </c>
      <c r="O14">
        <f>+'Økonomi 2050'!$L$54*EXP('Økonomi 2050'!$M$54*Omkostninger!O8)</f>
        <v>0.1179928379584621</v>
      </c>
      <c r="P14">
        <f>+'Økonomi 2050'!$L$54*EXP('Økonomi 2050'!$M$54*Omkostninger!P8)</f>
        <v>0.12148902474168949</v>
      </c>
      <c r="Q14">
        <f>+'Økonomi 2050'!$L$54*EXP('Økonomi 2050'!$M$54*Omkostninger!Q8)</f>
        <v>0.12508880528734098</v>
      </c>
      <c r="R14">
        <f>+'Økonomi 2050'!$L$54*EXP('Økonomi 2050'!$M$54*Omkostninger!R8)</f>
        <v>0.12879524913039239</v>
      </c>
      <c r="S14">
        <f>+'Økonomi 2050'!$L$54*EXP('Økonomi 2050'!$M$54*Omkostninger!S8)</f>
        <v>0.13261151675767563</v>
      </c>
      <c r="T14">
        <f>+'Økonomi 2050'!$L$54*EXP('Økonomi 2050'!$M$54*Omkostninger!T8)</f>
        <v>0.13654086230282761</v>
      </c>
      <c r="U14">
        <f>+'Økonomi 2050'!$L$54*EXP('Økonomi 2050'!$M$54*Omkostninger!U8)</f>
        <v>0.14058663632109192</v>
      </c>
      <c r="V14">
        <f>+'Økonomi 2050'!$L$54*EXP('Økonomi 2050'!$M$54*Omkostninger!V8)</f>
        <v>0.14475228864633927</v>
      </c>
      <c r="W14">
        <f>+'Økonomi 2050'!$L$54*EXP('Økonomi 2050'!$M$54*Omkostninger!W8)</f>
        <v>0.1490413713327427</v>
      </c>
      <c r="X14">
        <f>+'Økonomi 2050'!$L$54*EXP('Økonomi 2050'!$M$54*Omkostninger!X8)</f>
        <v>0.15345754168361653</v>
      </c>
      <c r="Y14">
        <f>+'Økonomi 2050'!$L$54*EXP('Økonomi 2050'!$M$54*Omkostninger!Y8)</f>
        <v>0.15800456537000079</v>
      </c>
      <c r="Z14">
        <f>+'Økonomi 2050'!$L$54*EXP('Økonomi 2050'!$M$54*Omkostninger!Z8)</f>
        <v>0.1626863196416512</v>
      </c>
      <c r="AA14">
        <f>+'Økonomi 2050'!$L$54*EXP('Økonomi 2050'!$M$54*Omkostninger!AA8)</f>
        <v>0.16750679663317236</v>
      </c>
      <c r="AB14">
        <f>+'Økonomi 2050'!$L$54*EXP('Økonomi 2050'!$M$54*Omkostninger!AB8)</f>
        <v>0.17247010676811309</v>
      </c>
      <c r="AC14">
        <f>+'Økonomi 2050'!$L$54*EXP('Økonomi 2050'!$M$54*Omkostninger!AC8)</f>
        <v>0.17758048226392725</v>
      </c>
      <c r="AD14">
        <f>+'Økonomi 2050'!$L$54*EXP('Økonomi 2050'!$M$54*Omkostninger!AD8)</f>
        <v>0.18284228074078773</v>
      </c>
      <c r="AE14">
        <f>+'Økonomi 2050'!$L$54*EXP('Økonomi 2050'!$M$54*Omkostninger!AE8)</f>
        <v>0.18825998893733217</v>
      </c>
      <c r="AF14">
        <f>+'Økonomi 2050'!$L$54*EXP('Økonomi 2050'!$M$54*Omkostninger!AF8)</f>
        <v>0.19383822653650698</v>
      </c>
      <c r="AG14">
        <f>+'Økonomi 2050'!$L$54*EXP('Økonomi 2050'!$M$54*Omkostninger!AG8)</f>
        <v>0.1995817501047743</v>
      </c>
      <c r="AH14">
        <f>+'Økonomi 2050'!$L$54*EXP('Økonomi 2050'!$M$54*Omkostninger!AH8)</f>
        <v>0.2054954571480386</v>
      </c>
      <c r="AI14">
        <f>+'Økonomi 2050'!$L$54*EXP('Økonomi 2050'!$M$54*Omkostninger!AI8)</f>
        <v>0.21158439028775314</v>
      </c>
      <c r="AJ14">
        <f>+'Økonomi 2050'!$L$54*EXP('Økonomi 2050'!$M$54*Omkostninger!AJ8)</f>
        <v>0.21785374156076587</v>
      </c>
      <c r="AK14">
        <f>+'Økonomi 2050'!$L$54*EXP('Økonomi 2050'!$M$54*Omkostninger!AK8)</f>
        <v>0.22430885684657256</v>
      </c>
      <c r="AL14">
        <f>+'Økonomi 2050'!$L$54*EXP('Økonomi 2050'!$M$54*Omkostninger!AL8)</f>
        <v>0.23095524042575138</v>
      </c>
      <c r="AM14">
        <f>+'Økonomi 2050'!$L$54*EXP('Økonomi 2050'!$M$54*Omkostninger!AM8)</f>
        <v>0.237798559673466</v>
      </c>
      <c r="AN14">
        <f>+'Økonomi 2050'!$L$54*EXP('Økonomi 2050'!$M$54*Omkostninger!AN8)</f>
        <v>0.24484464989203983</v>
      </c>
      <c r="AO14">
        <f>+'Økonomi 2050'!$L$54*EXP('Økonomi 2050'!$M$54*Omkostninger!AO8)</f>
        <v>0.25209951928672153</v>
      </c>
      <c r="AP14">
        <f>+'Økonomi 2050'!$L$54*EXP('Økonomi 2050'!$M$54*Omkostninger!AP8)</f>
        <v>0.25956935408888548</v>
      </c>
      <c r="AQ14">
        <f>+'Økonomi 2050'!$L$54*EXP('Økonomi 2050'!$M$54*Omkostninger!AQ8)</f>
        <v>0.26726052383103466</v>
      </c>
      <c r="AR14">
        <f>+'Økonomi 2050'!$L$54*EXP('Økonomi 2050'!$M$54*Omkostninger!AR8)</f>
        <v>0.27517958677810472</v>
      </c>
      <c r="AS14">
        <f>+'Økonomi 2050'!$L$54*EXP('Økonomi 2050'!$M$54*Omkostninger!AS8)</f>
        <v>0.28333329551970027</v>
      </c>
      <c r="AT14">
        <f>+'Økonomi 2050'!$L$54*EXP('Økonomi 2050'!$M$54*Omkostninger!AT8)</f>
        <v>0.29172860272803236</v>
      </c>
      <c r="AU14">
        <f>+'Økonomi 2050'!$L$54*EXP('Økonomi 2050'!$M$54*Omkostninger!AU8)</f>
        <v>0.30037266708646565</v>
      </c>
      <c r="AV14">
        <f>+'Økonomi 2050'!$L$54*EXP('Økonomi 2050'!$M$54*Omkostninger!AV8)</f>
        <v>0.30927285939373222</v>
      </c>
      <c r="AW14">
        <f>+'Økonomi 2050'!$L$54*EXP('Økonomi 2050'!$M$54*Omkostninger!AW8)</f>
        <v>0.31843676884901601</v>
      </c>
      <c r="AX14">
        <f>+'Økonomi 2050'!$L$54*EXP('Økonomi 2050'!$M$54*Omkostninger!AX8)</f>
        <v>0.32787220952326679</v>
      </c>
      <c r="AY14">
        <f>+'Økonomi 2050'!$L$54*EXP('Økonomi 2050'!$M$54*Omkostninger!AY8)</f>
        <v>0.33758722702226418</v>
      </c>
      <c r="AZ14">
        <f>+'Økonomi 2050'!$L$54*EXP('Økonomi 2050'!$M$54*Omkostninger!AZ8)</f>
        <v>0.34759010534710899</v>
      </c>
      <c r="BA14">
        <f>+'Økonomi 2050'!$L$54*EXP('Økonomi 2050'!$M$54*Omkostninger!BA8)</f>
        <v>0.35788937395799686</v>
      </c>
      <c r="BB14">
        <f>+'Økonomi 2050'!$L$54*EXP('Økonomi 2050'!$M$54*Omkostninger!BB8)</f>
        <v>0.36849381504729395</v>
      </c>
      <c r="BC14">
        <f>+'Økonomi 2050'!$L$54*EXP('Økonomi 2050'!$M$54*Omkostninger!BC8)</f>
        <v>0.37941247102811637</v>
      </c>
      <c r="BD14">
        <f>+'Økonomi 2050'!$L$54*EXP('Økonomi 2050'!$M$54*Omkostninger!BD8)</f>
        <v>0.39065465224480284</v>
      </c>
      <c r="BE14">
        <f>+'Økonomi 2050'!$L$54*EXP('Økonomi 2050'!$M$54*Omkostninger!BE8)</f>
        <v>0.40222994491184927</v>
      </c>
      <c r="BF14">
        <f>+'Økonomi 2050'!$L$54*EXP('Økonomi 2050'!$M$54*Omkostninger!BF8)</f>
        <v>0.41414821928807988</v>
      </c>
      <c r="BG14">
        <f>+'Økonomi 2050'!$L$54*EXP('Økonomi 2050'!$M$54*Omkostninger!BG8)</f>
        <v>0.42641963809302347</v>
      </c>
      <c r="BH14">
        <f>+'Økonomi 2050'!$L$54*EXP('Økonomi 2050'!$M$54*Omkostninger!BH8)</f>
        <v>0.43905466517266944</v>
      </c>
      <c r="BI14">
        <f>+'Økonomi 2050'!$L$54*EXP('Økonomi 2050'!$M$54*Omkostninger!BI8)</f>
        <v>0.45206407442199525</v>
      </c>
      <c r="BJ14">
        <f>+'Økonomi 2050'!$L$54*EXP('Økonomi 2050'!$M$54*Omkostninger!BJ8)</f>
        <v>0.4654589589718735</v>
      </c>
      <c r="BK14">
        <f>+'Økonomi 2050'!$L$54*EXP('Økonomi 2050'!$M$54*Omkostninger!BK8)</f>
        <v>0.47925074064819134</v>
      </c>
      <c r="BL14">
        <f>+'Økonomi 2050'!$L$54*EXP('Økonomi 2050'!$M$54*Omkostninger!BL8)</f>
        <v>0.49345117971124697</v>
      </c>
      <c r="BM14">
        <f>+'Økonomi 2050'!$L$54*EXP('Økonomi 2050'!$M$54*Omkostninger!BM8)</f>
        <v>0.50807238488373174</v>
      </c>
      <c r="BN14">
        <f>+'Økonomi 2050'!$L$54*EXP('Økonomi 2050'!$M$54*Omkostninger!BN8)</f>
        <v>0.52312682367584429</v>
      </c>
      <c r="BO14">
        <f>+'Økonomi 2050'!$L$54*EXP('Økonomi 2050'!$M$54*Omkostninger!BO8)</f>
        <v>0.53862733301634402</v>
      </c>
      <c r="BP14">
        <f>+'Økonomi 2050'!$L$54*EXP('Økonomi 2050'!$M$54*Omkostninger!BP8)</f>
        <v>0.55458713019860784</v>
      </c>
      <c r="BQ14">
        <f>+'Økonomi 2050'!$L$54*EXP('Økonomi 2050'!$M$54*Omkostninger!BQ8)</f>
        <v>0.57101982415102348</v>
      </c>
      <c r="BR14">
        <f>+'Økonomi 2050'!$L$54*EXP('Økonomi 2050'!$M$54*Omkostninger!BR8)</f>
        <v>0.58793942704133118</v>
      </c>
      <c r="BS14">
        <f>+'Økonomi 2050'!$L$54*EXP('Økonomi 2050'!$M$54*Omkostninger!BS8)</f>
        <v>0.60536036622480804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H46"/>
  <sheetViews>
    <sheetView topLeftCell="A4" workbookViewId="0">
      <selection activeCell="I38" sqref="I38"/>
    </sheetView>
  </sheetViews>
  <sheetFormatPr defaultRowHeight="15" x14ac:dyDescent="0.25"/>
  <cols>
    <col min="1" max="1" width="32.140625" customWidth="1"/>
    <col min="2" max="2" width="13.28515625" customWidth="1"/>
    <col min="3" max="3" width="12.140625" customWidth="1"/>
    <col min="4" max="4" width="10.5703125" bestFit="1" customWidth="1"/>
  </cols>
  <sheetData>
    <row r="3" spans="1:4" ht="15.75" thickBot="1" x14ac:dyDescent="0.3"/>
    <row r="4" spans="1:4" ht="15.75" x14ac:dyDescent="0.25">
      <c r="A4" s="24" t="s">
        <v>313</v>
      </c>
      <c r="B4" s="25"/>
      <c r="C4" s="26"/>
      <c r="D4" s="983"/>
    </row>
    <row r="5" spans="1:4" x14ac:dyDescent="0.25">
      <c r="A5" s="12" t="s">
        <v>314</v>
      </c>
      <c r="B5" s="18" t="s">
        <v>354</v>
      </c>
      <c r="C5" s="28"/>
      <c r="D5" s="984"/>
    </row>
    <row r="6" spans="1:4" x14ac:dyDescent="0.25">
      <c r="A6" s="12"/>
      <c r="B6" s="1026" t="s">
        <v>230</v>
      </c>
      <c r="C6" s="1027"/>
      <c r="D6" s="985"/>
    </row>
    <row r="7" spans="1:4" x14ac:dyDescent="0.25">
      <c r="A7" s="113"/>
      <c r="B7" s="354" t="s">
        <v>250</v>
      </c>
      <c r="C7" s="575" t="s">
        <v>245</v>
      </c>
      <c r="D7" s="986" t="s">
        <v>342</v>
      </c>
    </row>
    <row r="8" spans="1:4" x14ac:dyDescent="0.25">
      <c r="A8" s="27" t="s">
        <v>311</v>
      </c>
      <c r="B8" s="888"/>
      <c r="C8" s="889"/>
      <c r="D8" s="984"/>
    </row>
    <row r="9" spans="1:4" x14ac:dyDescent="0.25">
      <c r="A9" s="12" t="s">
        <v>102</v>
      </c>
      <c r="B9" s="888">
        <f>'[1]Øko udvikling'!$B18</f>
        <v>1.3215161705098177E-2</v>
      </c>
      <c r="C9" s="889">
        <f>'[1]Øko udvikling'!$D18</f>
        <v>1.2940039750192645E-2</v>
      </c>
      <c r="D9" s="833">
        <f>'[1]Øko udvikling'!$C18</f>
        <v>1.2499999999999956E-2</v>
      </c>
    </row>
    <row r="10" spans="1:4" x14ac:dyDescent="0.25">
      <c r="A10" s="12" t="s">
        <v>31</v>
      </c>
      <c r="B10" s="888">
        <f>'[1]Øko udvikling'!$B19</f>
        <v>1.1749059528412653E-2</v>
      </c>
      <c r="C10" s="889">
        <f>'[1]Øko udvikling'!$D19</f>
        <v>1.1814140514638805E-2</v>
      </c>
      <c r="D10" s="833">
        <f>'[1]Øko udvikling'!$C19</f>
        <v>1.1918278800318705E-2</v>
      </c>
    </row>
    <row r="11" spans="1:4" x14ac:dyDescent="0.25">
      <c r="A11" s="12" t="s">
        <v>32</v>
      </c>
      <c r="B11" s="888">
        <f>'[1]Øko udvikling'!$B20</f>
        <v>1.7549216479401997E-2</v>
      </c>
      <c r="C11" s="889">
        <f>'[1]Øko udvikling'!$D20</f>
        <v>1.6688852369593388E-2</v>
      </c>
      <c r="D11" s="833">
        <f>'[1]Øko udvikling'!$C20</f>
        <v>1.531378265490102E-2</v>
      </c>
    </row>
    <row r="12" spans="1:4" x14ac:dyDescent="0.25">
      <c r="A12" s="12"/>
      <c r="B12" s="888"/>
      <c r="C12" s="889"/>
      <c r="D12" s="833"/>
    </row>
    <row r="13" spans="1:4" x14ac:dyDescent="0.25">
      <c r="A13" s="12" t="s">
        <v>312</v>
      </c>
      <c r="B13" s="888">
        <f>'[1]Øko udvikling'!$B22</f>
        <v>1.3159175118844235E-2</v>
      </c>
      <c r="C13" s="889">
        <f>'[1]Øko udvikling'!$D22</f>
        <v>1.4152130895814796E-2</v>
      </c>
      <c r="D13" s="833">
        <f>'[1]Øko udvikling'!$C22</f>
        <v>1.5742884698618287E-2</v>
      </c>
    </row>
    <row r="14" spans="1:4" x14ac:dyDescent="0.25">
      <c r="A14" s="12" t="s">
        <v>27</v>
      </c>
      <c r="B14" s="888">
        <f>'[1]Øko udvikling'!$B23</f>
        <v>1.348308970021006E-2</v>
      </c>
      <c r="C14" s="889">
        <f>'[1]Øko udvikling'!$D23</f>
        <v>1.4279455971260235E-2</v>
      </c>
      <c r="D14" s="833">
        <f>'[1]Øko udvikling'!$C23</f>
        <v>1.5554943794500842E-2</v>
      </c>
    </row>
    <row r="15" spans="1:4" ht="15.75" thickBot="1" x14ac:dyDescent="0.3">
      <c r="A15" s="13" t="s">
        <v>46</v>
      </c>
      <c r="B15" s="890">
        <f>'[1]Øko udvikling'!$B24</f>
        <v>6.1248141002396839E-3</v>
      </c>
      <c r="C15" s="891">
        <f>'[1]Øko udvikling'!$D24</f>
        <v>5.6860904737183748E-3</v>
      </c>
      <c r="D15" s="834">
        <f>'[1]Øko udvikling'!$C24</f>
        <v>4.9845305545208607E-3</v>
      </c>
    </row>
    <row r="16" spans="1:4" ht="15.75" thickBot="1" x14ac:dyDescent="0.3"/>
    <row r="17" spans="1:8" x14ac:dyDescent="0.25">
      <c r="A17" s="60" t="s">
        <v>121</v>
      </c>
      <c r="B17" s="25"/>
      <c r="C17" s="26"/>
      <c r="D17" s="983"/>
    </row>
    <row r="18" spans="1:8" x14ac:dyDescent="0.25">
      <c r="A18" s="12" t="s">
        <v>314</v>
      </c>
      <c r="B18" s="18" t="s">
        <v>354</v>
      </c>
      <c r="C18" s="28"/>
      <c r="D18" s="984"/>
    </row>
    <row r="19" spans="1:8" x14ac:dyDescent="0.25">
      <c r="A19" s="12"/>
      <c r="B19" s="1026" t="s">
        <v>230</v>
      </c>
      <c r="C19" s="1027"/>
      <c r="D19" s="984"/>
    </row>
    <row r="20" spans="1:8" x14ac:dyDescent="0.25">
      <c r="A20" s="113"/>
      <c r="B20" s="354" t="s">
        <v>315</v>
      </c>
      <c r="C20" s="575" t="s">
        <v>245</v>
      </c>
      <c r="D20" s="988" t="s">
        <v>342</v>
      </c>
    </row>
    <row r="21" spans="1:8" ht="15.75" thickBot="1" x14ac:dyDescent="0.3">
      <c r="A21" s="13" t="s">
        <v>316</v>
      </c>
      <c r="B21" s="892">
        <f>'[1]Øko udvikling'!$B$29</f>
        <v>1.5641921257166791E-2</v>
      </c>
      <c r="C21" s="933">
        <f>'[1]Øko udvikling'!$D$29</f>
        <v>1.4745295507787137E-2</v>
      </c>
      <c r="D21" s="987">
        <f>'[1]Øko udvikling'!$C$29</f>
        <v>1.3312340455102323E-2</v>
      </c>
    </row>
    <row r="23" spans="1:8" ht="15.75" x14ac:dyDescent="0.25">
      <c r="A23" s="707" t="s">
        <v>317</v>
      </c>
      <c r="B23" s="696"/>
      <c r="C23" s="697"/>
      <c r="D23" s="697"/>
      <c r="E23" s="697"/>
      <c r="F23" s="1028" t="s">
        <v>156</v>
      </c>
      <c r="G23" s="1029"/>
      <c r="H23" s="1030"/>
    </row>
    <row r="24" spans="1:8" x14ac:dyDescent="0.25">
      <c r="A24" s="706" t="s">
        <v>322</v>
      </c>
      <c r="B24" s="698">
        <v>1980</v>
      </c>
      <c r="C24" s="332">
        <v>2011</v>
      </c>
      <c r="D24" s="332">
        <v>2035</v>
      </c>
      <c r="E24" s="332">
        <v>2050</v>
      </c>
      <c r="F24" s="333" t="s">
        <v>246</v>
      </c>
      <c r="G24" s="695" t="s">
        <v>250</v>
      </c>
      <c r="H24" s="699" t="s">
        <v>245</v>
      </c>
    </row>
    <row r="25" spans="1:8" x14ac:dyDescent="0.25">
      <c r="A25" s="700" t="s">
        <v>318</v>
      </c>
      <c r="B25" s="700">
        <v>5122</v>
      </c>
      <c r="C25" s="701">
        <v>5561</v>
      </c>
      <c r="D25" s="702">
        <v>5999.7330000000002</v>
      </c>
      <c r="E25" s="702">
        <v>6135.8090000000002</v>
      </c>
      <c r="F25" s="703">
        <f>+(C25/B25)^(1/31)-1</f>
        <v>2.6561976012755562E-3</v>
      </c>
      <c r="G25" s="704">
        <f>+(D25/C25)^(1/(D24-C24))-1</f>
        <v>3.1690533672987797E-3</v>
      </c>
      <c r="H25" s="705">
        <f>+(E25/C25)^(1/(E24-C24))-1</f>
        <v>2.5253368332296411E-3</v>
      </c>
    </row>
    <row r="26" spans="1:8" ht="15.75" thickBot="1" x14ac:dyDescent="0.3"/>
    <row r="27" spans="1:8" ht="15.75" x14ac:dyDescent="0.25">
      <c r="A27" s="24" t="s">
        <v>321</v>
      </c>
      <c r="B27" s="25"/>
      <c r="C27" s="25"/>
      <c r="D27" s="26"/>
      <c r="E27" s="715" t="s">
        <v>91</v>
      </c>
    </row>
    <row r="28" spans="1:8" x14ac:dyDescent="0.25">
      <c r="A28" s="113" t="s">
        <v>314</v>
      </c>
      <c r="B28" s="11">
        <v>1980</v>
      </c>
      <c r="C28" s="11">
        <v>2000</v>
      </c>
      <c r="D28" s="36">
        <v>2011</v>
      </c>
      <c r="E28" s="717" t="s">
        <v>246</v>
      </c>
    </row>
    <row r="29" spans="1:8" x14ac:dyDescent="0.25">
      <c r="A29" s="12" t="s">
        <v>323</v>
      </c>
      <c r="B29" s="320">
        <f>+B33+B37</f>
        <v>2129.70975</v>
      </c>
      <c r="C29" s="320">
        <f t="shared" ref="C29:D29" si="0">+C33+C37</f>
        <v>2489</v>
      </c>
      <c r="D29" s="709">
        <f t="shared" si="0"/>
        <v>2735</v>
      </c>
      <c r="E29" s="716">
        <f>+(D29/B29)^(1/31)-1</f>
        <v>8.1018610724605811E-3</v>
      </c>
    </row>
    <row r="30" spans="1:8" x14ac:dyDescent="0.25">
      <c r="A30" s="12" t="s">
        <v>328</v>
      </c>
      <c r="B30" s="320">
        <f>+B34+B38</f>
        <v>223.65112547796076</v>
      </c>
      <c r="C30" s="320">
        <f t="shared" ref="C30" si="1">+C34+C38</f>
        <v>268.87009999999998</v>
      </c>
      <c r="D30" s="320">
        <f>+D34+D38</f>
        <v>302.9524846601941</v>
      </c>
      <c r="E30" s="716">
        <f t="shared" ref="E30:E39" si="2">+(D30/B30)^(1/31)-1</f>
        <v>9.8380336932124557E-3</v>
      </c>
    </row>
    <row r="31" spans="1:8" x14ac:dyDescent="0.25">
      <c r="A31" s="12" t="s">
        <v>333</v>
      </c>
      <c r="B31" s="41">
        <f>+B25/B29</f>
        <v>2.4050225623468173</v>
      </c>
      <c r="C31" s="320"/>
      <c r="D31" s="41">
        <f>+C25/D29</f>
        <v>2.0332723948811702</v>
      </c>
      <c r="E31" s="716">
        <f t="shared" si="2"/>
        <v>-5.4018980437072761E-3</v>
      </c>
      <c r="G31" t="s">
        <v>249</v>
      </c>
    </row>
    <row r="32" spans="1:8" x14ac:dyDescent="0.25">
      <c r="A32" s="708" t="s">
        <v>297</v>
      </c>
      <c r="B32" s="18"/>
      <c r="C32" s="18"/>
      <c r="D32" s="28"/>
      <c r="E32" s="716"/>
    </row>
    <row r="33" spans="1:6" x14ac:dyDescent="0.25">
      <c r="A33" s="12" t="s">
        <v>324</v>
      </c>
      <c r="B33" s="320">
        <f>+'[1]Boliger - arealer'!$C$31</f>
        <v>1197.1867499999998</v>
      </c>
      <c r="C33" s="320">
        <f>+'[1]Boliger - arealer'!$G$31</f>
        <v>1466</v>
      </c>
      <c r="D33" s="710">
        <f>+'[1]Boliger - arealer'!$N$31</f>
        <v>1610</v>
      </c>
      <c r="E33" s="716">
        <f t="shared" si="2"/>
        <v>9.602577824834535E-3</v>
      </c>
    </row>
    <row r="34" spans="1:6" x14ac:dyDescent="0.25">
      <c r="A34" s="12" t="s">
        <v>325</v>
      </c>
      <c r="B34" s="320">
        <f>+'[1]Boliger - arealer'!$C$45</f>
        <v>154.83092807796075</v>
      </c>
      <c r="C34" s="320">
        <f>+'[1]Boliger - arealer'!$G$45</f>
        <v>191.8382</v>
      </c>
      <c r="D34" s="710">
        <f>+'[1]Boliger - arealer'!$N$45</f>
        <v>215.09626410873781</v>
      </c>
      <c r="E34" s="716">
        <f t="shared" si="2"/>
        <v>1.0661332333349538E-2</v>
      </c>
    </row>
    <row r="35" spans="1:6" x14ac:dyDescent="0.25">
      <c r="A35" s="309" t="s">
        <v>334</v>
      </c>
      <c r="B35" s="43">
        <f>+'[1]Boliger - arealer'!$C$41</f>
        <v>153.79154279629057</v>
      </c>
      <c r="C35" s="43">
        <f>+'[1]Boliger - arealer'!$G$42</f>
        <v>83.46218809980806</v>
      </c>
      <c r="D35" s="711">
        <f>+'[1]Boliger - arealer'!$N$41</f>
        <v>177</v>
      </c>
      <c r="E35" s="716">
        <f t="shared" si="2"/>
        <v>4.5442184759652005E-3</v>
      </c>
    </row>
    <row r="36" spans="1:6" x14ac:dyDescent="0.25">
      <c r="A36" s="708" t="s">
        <v>302</v>
      </c>
      <c r="B36" s="18"/>
      <c r="C36" s="18"/>
      <c r="D36" s="28"/>
      <c r="E36" s="716"/>
    </row>
    <row r="37" spans="1:6" x14ac:dyDescent="0.25">
      <c r="A37" s="12" t="s">
        <v>324</v>
      </c>
      <c r="B37" s="320">
        <f>+'[1]Boliger - arealer'!$C$33</f>
        <v>932.52300000000002</v>
      </c>
      <c r="C37" s="320">
        <f>+'[1]Boliger - arealer'!$G$33</f>
        <v>1023</v>
      </c>
      <c r="D37" s="710">
        <f>+'[1]Boliger - arealer'!$N$33</f>
        <v>1125</v>
      </c>
      <c r="E37" s="716">
        <f t="shared" si="2"/>
        <v>6.0714050566177402E-3</v>
      </c>
    </row>
    <row r="38" spans="1:6" x14ac:dyDescent="0.25">
      <c r="A38" s="12" t="s">
        <v>325</v>
      </c>
      <c r="B38" s="320">
        <f>+'[1]Boliger - arealer'!$C$46</f>
        <v>68.820197399999998</v>
      </c>
      <c r="C38" s="320">
        <f>+'[1]Boliger - arealer'!$G$46</f>
        <v>77.031899999999993</v>
      </c>
      <c r="D38" s="713">
        <f>+'[1]Boliger - arealer'!$N$46</f>
        <v>87.856220551456289</v>
      </c>
      <c r="E38" s="735">
        <f t="shared" si="2"/>
        <v>7.9086693574830225E-3</v>
      </c>
    </row>
    <row r="39" spans="1:6" ht="15.75" thickBot="1" x14ac:dyDescent="0.3">
      <c r="A39" s="310" t="s">
        <v>161</v>
      </c>
      <c r="B39" s="102">
        <f>+'[1]Boliger - arealer'!$C$42</f>
        <v>79.533811475409777</v>
      </c>
      <c r="C39" s="102">
        <f>+'[1]Boliger - arealer'!$G$42</f>
        <v>83.46218809980806</v>
      </c>
      <c r="D39" s="736">
        <f>+'[1]Boliger - arealer'!$N$42</f>
        <v>81.5</v>
      </c>
      <c r="E39" s="737">
        <f t="shared" si="2"/>
        <v>7.8807770644484521E-4</v>
      </c>
    </row>
    <row r="40" spans="1:6" x14ac:dyDescent="0.25">
      <c r="A40" s="18"/>
      <c r="B40" s="320"/>
      <c r="C40" s="320"/>
      <c r="D40" s="738"/>
      <c r="E40" s="714"/>
    </row>
    <row r="41" spans="1:6" ht="15.75" thickBot="1" x14ac:dyDescent="0.3"/>
    <row r="42" spans="1:6" ht="15.75" x14ac:dyDescent="0.25">
      <c r="A42" s="24" t="s">
        <v>326</v>
      </c>
      <c r="B42" s="25"/>
      <c r="C42" s="25"/>
      <c r="D42" s="26"/>
      <c r="E42" s="1031" t="s">
        <v>335</v>
      </c>
      <c r="F42" s="1032"/>
    </row>
    <row r="43" spans="1:6" x14ac:dyDescent="0.25">
      <c r="A43" s="12" t="s">
        <v>327</v>
      </c>
      <c r="B43" s="18"/>
      <c r="C43" s="18"/>
      <c r="D43" s="28"/>
      <c r="E43" s="1031" t="s">
        <v>336</v>
      </c>
      <c r="F43" s="1032"/>
    </row>
    <row r="44" spans="1:6" x14ac:dyDescent="0.25">
      <c r="A44" s="12"/>
      <c r="B44" s="5">
        <v>1985</v>
      </c>
      <c r="C44" s="5">
        <v>2000</v>
      </c>
      <c r="D44" s="32">
        <v>2011</v>
      </c>
      <c r="E44" s="1024" t="s">
        <v>337</v>
      </c>
      <c r="F44" s="1025"/>
    </row>
    <row r="45" spans="1:6" ht="15.75" thickBot="1" x14ac:dyDescent="0.3">
      <c r="A45" s="13" t="s">
        <v>284</v>
      </c>
      <c r="B45" s="102">
        <f>+'[1]H&amp;S- opvarmning'!$G$16</f>
        <v>81.38000000000001</v>
      </c>
      <c r="C45" s="102">
        <f>+'[1]H&amp;S- opvarmning'!$V$16</f>
        <v>104.815</v>
      </c>
      <c r="D45" s="712">
        <f>+'[1]H&amp;S- opvarmning'!$AG$16</f>
        <v>121.7</v>
      </c>
      <c r="E45" s="766">
        <f>+(D45-B45)/26</f>
        <v>1.5507692307692305</v>
      </c>
      <c r="F45" s="767"/>
    </row>
    <row r="46" spans="1:6" x14ac:dyDescent="0.25">
      <c r="A46" s="21"/>
    </row>
  </sheetData>
  <mergeCells count="6">
    <mergeCell ref="E44:F44"/>
    <mergeCell ref="B6:C6"/>
    <mergeCell ref="B19:C19"/>
    <mergeCell ref="F23:H23"/>
    <mergeCell ref="E42:F42"/>
    <mergeCell ref="E43:F4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P65"/>
  <sheetViews>
    <sheetView topLeftCell="A46" workbookViewId="0">
      <selection activeCell="H28" sqref="H28"/>
    </sheetView>
  </sheetViews>
  <sheetFormatPr defaultRowHeight="15" x14ac:dyDescent="0.25"/>
  <cols>
    <col min="1" max="1" width="7.140625" customWidth="1"/>
    <col min="2" max="2" width="19.140625" customWidth="1"/>
    <col min="7" max="7" width="12.28515625" customWidth="1"/>
  </cols>
  <sheetData>
    <row r="1" spans="1:9" ht="18.75" x14ac:dyDescent="0.3">
      <c r="A1" s="6" t="s">
        <v>117</v>
      </c>
    </row>
    <row r="2" spans="1:9" x14ac:dyDescent="0.25">
      <c r="A2" t="s">
        <v>308</v>
      </c>
    </row>
    <row r="3" spans="1:9" ht="15.75" thickBot="1" x14ac:dyDescent="0.3"/>
    <row r="4" spans="1:9" ht="24.75" x14ac:dyDescent="0.25">
      <c r="A4" s="726" t="s">
        <v>330</v>
      </c>
      <c r="B4" s="572"/>
      <c r="C4" s="572"/>
      <c r="D4" s="727">
        <v>2011</v>
      </c>
      <c r="E4" s="728">
        <v>2035</v>
      </c>
      <c r="F4" s="727">
        <v>2050</v>
      </c>
      <c r="G4" s="835" t="s">
        <v>163</v>
      </c>
      <c r="H4" s="733"/>
      <c r="I4" s="733"/>
    </row>
    <row r="5" spans="1:9" x14ac:dyDescent="0.25">
      <c r="A5" s="308"/>
      <c r="B5" s="18"/>
      <c r="C5" s="18"/>
      <c r="D5" s="741"/>
      <c r="E5" s="576"/>
      <c r="F5" s="720"/>
      <c r="G5" s="836" t="s">
        <v>246</v>
      </c>
      <c r="H5" s="734"/>
      <c r="I5" s="734"/>
    </row>
    <row r="6" spans="1:9" x14ac:dyDescent="0.25">
      <c r="A6" s="309" t="s">
        <v>158</v>
      </c>
      <c r="B6" s="18"/>
      <c r="C6" s="18"/>
      <c r="D6" s="742">
        <f>+'E-tjen-forudsæt'!C25/'E-tjen-forudsæt'!D29</f>
        <v>2.0332723948811702</v>
      </c>
      <c r="E6" s="747">
        <v>1.95</v>
      </c>
      <c r="F6" s="554">
        <v>1.85</v>
      </c>
      <c r="G6" s="833">
        <f>+'E-tjen-forudsæt'!E31</f>
        <v>-5.4018980437072761E-3</v>
      </c>
      <c r="H6" s="732"/>
      <c r="I6" s="732"/>
    </row>
    <row r="7" spans="1:9" x14ac:dyDescent="0.25">
      <c r="A7" s="309" t="s">
        <v>159</v>
      </c>
      <c r="B7" s="18"/>
      <c r="C7" s="18"/>
      <c r="D7" s="742">
        <f>+'E-tjen-forudsæt'!D33/'E-tjen-forudsæt'!D29</f>
        <v>0.58866544789762343</v>
      </c>
      <c r="E7" s="747">
        <v>0.57999999999999996</v>
      </c>
      <c r="F7" s="554">
        <v>0.56000000000000005</v>
      </c>
      <c r="G7" s="833"/>
      <c r="H7" s="732"/>
      <c r="I7" s="732"/>
    </row>
    <row r="8" spans="1:9" x14ac:dyDescent="0.25">
      <c r="A8" s="309" t="s">
        <v>160</v>
      </c>
      <c r="B8" s="18"/>
      <c r="C8" s="18"/>
      <c r="D8" s="739">
        <f>+'E-tjen-forudsæt'!D35</f>
        <v>177</v>
      </c>
      <c r="E8" s="747">
        <v>177</v>
      </c>
      <c r="F8" s="554">
        <v>177</v>
      </c>
      <c r="G8" s="833">
        <f>+'[1]Boliger - arealer'!$E$8</f>
        <v>4.5442184759652005E-3</v>
      </c>
      <c r="H8" s="732"/>
      <c r="I8" s="732"/>
    </row>
    <row r="9" spans="1:9" ht="15.75" thickBot="1" x14ac:dyDescent="0.3">
      <c r="A9" s="310" t="s">
        <v>161</v>
      </c>
      <c r="B9" s="34"/>
      <c r="C9" s="34"/>
      <c r="D9" s="740">
        <f>+'E-tjen-forudsæt'!D39</f>
        <v>81.5</v>
      </c>
      <c r="E9" s="748">
        <v>82</v>
      </c>
      <c r="F9" s="749">
        <v>85</v>
      </c>
      <c r="G9" s="834">
        <f>+'[1]Boliger - arealer'!$E$9</f>
        <v>7.8807770644484521E-4</v>
      </c>
      <c r="H9" s="732"/>
      <c r="I9" s="732"/>
    </row>
    <row r="10" spans="1:9" ht="15.75" thickBot="1" x14ac:dyDescent="0.3"/>
    <row r="11" spans="1:9" x14ac:dyDescent="0.25">
      <c r="A11" s="325" t="s">
        <v>248</v>
      </c>
      <c r="B11" s="326"/>
      <c r="C11" s="326"/>
      <c r="D11" s="327"/>
      <c r="E11" s="18"/>
    </row>
    <row r="12" spans="1:9" x14ac:dyDescent="0.25">
      <c r="A12" s="375"/>
      <c r="B12" s="3"/>
      <c r="C12" s="328">
        <f>+C63</f>
        <v>2035</v>
      </c>
      <c r="D12" s="329">
        <f>+D63</f>
        <v>2050</v>
      </c>
      <c r="E12" s="18"/>
    </row>
    <row r="13" spans="1:9" x14ac:dyDescent="0.25">
      <c r="A13" s="750" t="s">
        <v>106</v>
      </c>
      <c r="B13" s="544"/>
      <c r="C13" s="731" t="s">
        <v>118</v>
      </c>
      <c r="D13" s="642"/>
      <c r="E13" s="18"/>
    </row>
    <row r="14" spans="1:9" x14ac:dyDescent="0.25">
      <c r="A14" s="12"/>
      <c r="B14" s="18" t="s">
        <v>59</v>
      </c>
      <c r="C14" s="743">
        <v>0.05</v>
      </c>
      <c r="D14" s="744">
        <v>0.1</v>
      </c>
      <c r="E14" s="18"/>
    </row>
    <row r="15" spans="1:9" x14ac:dyDescent="0.25">
      <c r="A15" s="113"/>
      <c r="B15" s="5" t="s">
        <v>60</v>
      </c>
      <c r="C15" s="745">
        <v>0.05</v>
      </c>
      <c r="D15" s="746">
        <v>0.1</v>
      </c>
      <c r="E15" s="18"/>
    </row>
    <row r="16" spans="1:9" ht="15.75" thickBot="1" x14ac:dyDescent="0.3">
      <c r="A16" s="751" t="s">
        <v>103</v>
      </c>
      <c r="B16" s="548"/>
      <c r="C16" s="831">
        <v>0.05</v>
      </c>
      <c r="D16" s="832">
        <v>0.1</v>
      </c>
      <c r="E16" s="18"/>
    </row>
    <row r="17" spans="1:16" ht="15.75" thickBot="1" x14ac:dyDescent="0.3"/>
    <row r="18" spans="1:16" x14ac:dyDescent="0.25">
      <c r="A18" s="325" t="s">
        <v>412</v>
      </c>
      <c r="B18" s="326"/>
      <c r="C18" s="326"/>
      <c r="D18" s="326"/>
      <c r="E18" s="25"/>
      <c r="F18" s="25"/>
      <c r="G18" s="25"/>
      <c r="H18" s="25"/>
      <c r="I18" s="1098"/>
      <c r="J18" s="1098"/>
      <c r="K18" s="1098"/>
      <c r="L18" s="1099"/>
    </row>
    <row r="19" spans="1:16" x14ac:dyDescent="0.25">
      <c r="A19" s="750" t="s">
        <v>106</v>
      </c>
      <c r="B19" s="544"/>
      <c r="C19" s="719" t="s">
        <v>259</v>
      </c>
      <c r="D19" s="718"/>
      <c r="E19" s="718"/>
      <c r="F19" s="718"/>
      <c r="G19" s="718"/>
      <c r="H19" s="544"/>
      <c r="I19" s="1100" t="s">
        <v>260</v>
      </c>
      <c r="J19" s="1101"/>
      <c r="K19" s="1101"/>
      <c r="L19" s="1102"/>
    </row>
    <row r="20" spans="1:16" x14ac:dyDescent="0.25">
      <c r="A20" s="12"/>
      <c r="B20" s="18"/>
      <c r="C20" s="619" t="s">
        <v>59</v>
      </c>
      <c r="D20" s="18"/>
      <c r="E20" s="365"/>
      <c r="F20" s="619" t="s">
        <v>60</v>
      </c>
      <c r="G20" s="18"/>
      <c r="H20" s="365"/>
      <c r="I20" s="1100" t="s">
        <v>59</v>
      </c>
      <c r="J20" s="1103"/>
      <c r="K20" s="1100" t="s">
        <v>60</v>
      </c>
      <c r="L20" s="1104"/>
    </row>
    <row r="21" spans="1:16" x14ac:dyDescent="0.25">
      <c r="A21" s="52"/>
      <c r="B21" s="21"/>
      <c r="C21" s="612">
        <v>2011</v>
      </c>
      <c r="D21" s="621">
        <f>+C63</f>
        <v>2035</v>
      </c>
      <c r="E21" s="11">
        <f>+D63</f>
        <v>2050</v>
      </c>
      <c r="F21" s="612">
        <v>2011</v>
      </c>
      <c r="G21" s="11">
        <f>+C63</f>
        <v>2035</v>
      </c>
      <c r="H21" s="621">
        <f>+D63</f>
        <v>2050</v>
      </c>
      <c r="I21" s="1105">
        <f>+C12</f>
        <v>2035</v>
      </c>
      <c r="J21" s="1106">
        <f>+D12</f>
        <v>2050</v>
      </c>
      <c r="K21" s="1107">
        <f>+C12</f>
        <v>2035</v>
      </c>
      <c r="L21" s="1108">
        <f>+D12</f>
        <v>2050</v>
      </c>
    </row>
    <row r="22" spans="1:16" x14ac:dyDescent="0.25">
      <c r="A22" s="12"/>
      <c r="B22" s="14" t="s">
        <v>62</v>
      </c>
      <c r="C22" s="620"/>
      <c r="D22" s="743">
        <v>0.2</v>
      </c>
      <c r="E22" s="744">
        <v>0.2</v>
      </c>
      <c r="F22" s="620"/>
      <c r="G22" s="743">
        <v>0.75</v>
      </c>
      <c r="H22" s="744">
        <v>0.75</v>
      </c>
      <c r="I22" s="1109">
        <v>0.3</v>
      </c>
      <c r="J22" s="1110">
        <v>0.3</v>
      </c>
      <c r="K22" s="1109">
        <v>0.8</v>
      </c>
      <c r="L22" s="1111">
        <v>0.8</v>
      </c>
    </row>
    <row r="23" spans="1:16" ht="15.75" thickBot="1" x14ac:dyDescent="0.3">
      <c r="A23" s="13"/>
      <c r="B23" s="625" t="s">
        <v>73</v>
      </c>
      <c r="C23" s="623">
        <f>+'[2]Fjv-andele'!$D$6</f>
        <v>0.31892376375098558</v>
      </c>
      <c r="D23" s="831">
        <v>0.34</v>
      </c>
      <c r="E23" s="832">
        <f>+'[2]Fjv-andele'!$M$6</f>
        <v>0.35988903243219372</v>
      </c>
      <c r="F23" s="623">
        <f>+'[2]Fjv-andele'!$D$7</f>
        <v>0.85760278095947418</v>
      </c>
      <c r="G23" s="831">
        <v>0.88</v>
      </c>
      <c r="H23" s="832">
        <f>+'[2]Fjv-andele'!$M$7</f>
        <v>0.90260601605780444</v>
      </c>
      <c r="I23" s="1112">
        <v>0.36</v>
      </c>
      <c r="J23" s="1113">
        <f>+'[2]Fjv-andele'!$Q$6</f>
        <v>0.38882301112629514</v>
      </c>
      <c r="K23" s="1112">
        <v>0.89</v>
      </c>
      <c r="L23" s="1114">
        <f>+'[2]Fjv-andele'!$Q$7</f>
        <v>0.91188137788535395</v>
      </c>
    </row>
    <row r="24" spans="1:16" x14ac:dyDescent="0.25">
      <c r="A24" s="750" t="s">
        <v>103</v>
      </c>
      <c r="B24" s="544"/>
      <c r="C24" s="17" t="s">
        <v>259</v>
      </c>
      <c r="D24" s="18"/>
      <c r="E24" s="28"/>
      <c r="F24" s="18"/>
      <c r="H24" s="402"/>
    </row>
    <row r="25" spans="1:16" x14ac:dyDescent="0.25">
      <c r="A25" s="12"/>
      <c r="B25" s="18"/>
      <c r="C25" s="11">
        <v>2011</v>
      </c>
      <c r="D25" s="11">
        <f>+C63</f>
        <v>2035</v>
      </c>
      <c r="E25" s="36">
        <f>+D63</f>
        <v>2050</v>
      </c>
      <c r="F25" s="18"/>
    </row>
    <row r="26" spans="1:16" x14ac:dyDescent="0.25">
      <c r="A26" s="12"/>
      <c r="B26" s="14" t="s">
        <v>62</v>
      </c>
      <c r="C26" s="624"/>
      <c r="D26" s="743">
        <v>0.75</v>
      </c>
      <c r="E26" s="744">
        <v>0.75</v>
      </c>
      <c r="F26" s="18"/>
    </row>
    <row r="27" spans="1:16" ht="15.75" thickBot="1" x14ac:dyDescent="0.3">
      <c r="A27" s="13"/>
      <c r="B27" s="625" t="s">
        <v>73</v>
      </c>
      <c r="C27" s="623">
        <f>+'[2]Fjv-andele'!$D$18</f>
        <v>0.71307869199263874</v>
      </c>
      <c r="D27" s="745">
        <v>0.74</v>
      </c>
      <c r="E27" s="746">
        <f>+'[2]Fjv-andele'!$M$18</f>
        <v>0.77490287953035331</v>
      </c>
      <c r="F27" s="18"/>
      <c r="O27" s="843"/>
    </row>
    <row r="28" spans="1:16" ht="15.75" thickBot="1" x14ac:dyDescent="0.3">
      <c r="J28" s="60" t="s">
        <v>262</v>
      </c>
      <c r="K28" s="25"/>
      <c r="L28" s="25"/>
      <c r="M28" s="25"/>
      <c r="N28" s="25"/>
      <c r="O28" s="26"/>
    </row>
    <row r="29" spans="1:16" x14ac:dyDescent="0.25">
      <c r="A29" s="325" t="s">
        <v>329</v>
      </c>
      <c r="B29" s="326"/>
      <c r="C29" s="326"/>
      <c r="D29" s="326"/>
      <c r="E29" s="326"/>
      <c r="F29" s="326"/>
      <c r="G29" s="327"/>
      <c r="J29" s="12" t="s">
        <v>264</v>
      </c>
      <c r="K29" s="18"/>
      <c r="L29" s="18"/>
      <c r="M29" s="18"/>
      <c r="N29" s="18" t="s">
        <v>256</v>
      </c>
      <c r="O29" s="28" t="s">
        <v>257</v>
      </c>
    </row>
    <row r="30" spans="1:16" x14ac:dyDescent="0.25">
      <c r="A30" s="375" t="s">
        <v>106</v>
      </c>
      <c r="B30" s="3"/>
      <c r="C30" s="3"/>
      <c r="D30" s="328"/>
      <c r="E30" s="328" t="s">
        <v>285</v>
      </c>
      <c r="F30" s="328" t="s">
        <v>168</v>
      </c>
      <c r="G30" s="329" t="s">
        <v>306</v>
      </c>
      <c r="J30" s="12"/>
      <c r="K30" s="18" t="s">
        <v>254</v>
      </c>
      <c r="L30" s="18" t="s">
        <v>255</v>
      </c>
      <c r="M30" s="838" t="s">
        <v>258</v>
      </c>
      <c r="N30" s="18">
        <v>177</v>
      </c>
      <c r="O30" s="842">
        <v>800</v>
      </c>
      <c r="P30" s="21" t="s">
        <v>355</v>
      </c>
    </row>
    <row r="31" spans="1:16" x14ac:dyDescent="0.25">
      <c r="A31" s="62" t="s">
        <v>92</v>
      </c>
      <c r="B31" s="21"/>
      <c r="C31" s="21"/>
      <c r="D31" s="382"/>
      <c r="E31" s="382"/>
      <c r="F31" s="382"/>
      <c r="G31" s="385"/>
      <c r="J31" s="12" t="s">
        <v>263</v>
      </c>
      <c r="K31" s="18">
        <v>52.5</v>
      </c>
      <c r="L31" s="18">
        <v>1650</v>
      </c>
      <c r="M31" s="18"/>
      <c r="N31" s="43">
        <f>+K31+L31/N$30</f>
        <v>61.822033898305087</v>
      </c>
      <c r="O31" s="141">
        <f>+K31+L31/O$30</f>
        <v>54.5625</v>
      </c>
      <c r="P31" s="607">
        <f>N31*D$7+O31*(1-D$7)</f>
        <v>58.835936773773746</v>
      </c>
    </row>
    <row r="32" spans="1:16" x14ac:dyDescent="0.25">
      <c r="A32" s="12" t="s">
        <v>165</v>
      </c>
      <c r="B32" s="21"/>
      <c r="C32" s="21"/>
      <c r="D32" s="164"/>
      <c r="E32" s="655">
        <v>60</v>
      </c>
      <c r="F32" s="655">
        <v>35</v>
      </c>
      <c r="G32" s="837">
        <v>20</v>
      </c>
      <c r="J32" s="12" t="s">
        <v>252</v>
      </c>
      <c r="K32" s="18">
        <v>30</v>
      </c>
      <c r="L32" s="18">
        <v>1000</v>
      </c>
      <c r="M32" s="18"/>
      <c r="N32" s="43">
        <f>+K32+L32/N$30</f>
        <v>35.649717514124291</v>
      </c>
      <c r="O32" s="141">
        <f>+K32+L32/O$30</f>
        <v>31.25</v>
      </c>
      <c r="P32" s="607">
        <f t="shared" ref="P32:P33" si="0">N32*D$7+O32*(1-D$7)</f>
        <v>33.839961681074996</v>
      </c>
    </row>
    <row r="33" spans="1:16" ht="15.75" thickBot="1" x14ac:dyDescent="0.3">
      <c r="A33" s="324" t="s">
        <v>170</v>
      </c>
      <c r="B33" s="21"/>
      <c r="C33" s="21"/>
      <c r="D33" s="164"/>
      <c r="E33" s="164"/>
      <c r="F33" s="164"/>
      <c r="G33" s="386"/>
      <c r="J33" s="13" t="s">
        <v>253</v>
      </c>
      <c r="K33" s="34">
        <v>20</v>
      </c>
      <c r="L33" s="34"/>
      <c r="M33" s="34"/>
      <c r="N33" s="102">
        <f>+K33+L33/N$30</f>
        <v>20</v>
      </c>
      <c r="O33" s="315">
        <f t="shared" ref="O33" si="1">+K33+L33/O$30</f>
        <v>20</v>
      </c>
      <c r="P33" s="607">
        <f t="shared" si="0"/>
        <v>20</v>
      </c>
    </row>
    <row r="34" spans="1:16" ht="15.75" thickBot="1" x14ac:dyDescent="0.3">
      <c r="A34" s="12" t="s">
        <v>166</v>
      </c>
      <c r="B34" s="21"/>
      <c r="C34" s="21"/>
      <c r="D34" s="164"/>
      <c r="E34" s="164">
        <f t="shared" ref="E34:G34" si="2">+E32*1.1</f>
        <v>66</v>
      </c>
      <c r="F34" s="164">
        <f t="shared" si="2"/>
        <v>38.5</v>
      </c>
      <c r="G34" s="386">
        <f t="shared" si="2"/>
        <v>22</v>
      </c>
    </row>
    <row r="35" spans="1:16" x14ac:dyDescent="0.25">
      <c r="A35" s="113" t="s">
        <v>169</v>
      </c>
      <c r="B35" s="168"/>
      <c r="C35" s="168"/>
      <c r="D35" s="387"/>
      <c r="E35" s="387">
        <f t="shared" ref="E35:G35" si="3">+E34/3.6</f>
        <v>18.333333333333332</v>
      </c>
      <c r="F35" s="387">
        <f t="shared" si="3"/>
        <v>10.694444444444445</v>
      </c>
      <c r="G35" s="388">
        <f t="shared" si="3"/>
        <v>6.1111111111111107</v>
      </c>
      <c r="J35" s="118" t="s">
        <v>192</v>
      </c>
      <c r="K35" s="25"/>
      <c r="L35" s="25"/>
      <c r="M35" s="839" t="s">
        <v>258</v>
      </c>
      <c r="N35" s="26">
        <v>800</v>
      </c>
    </row>
    <row r="36" spans="1:16" x14ac:dyDescent="0.25">
      <c r="A36" s="62" t="s">
        <v>214</v>
      </c>
      <c r="B36" s="21"/>
      <c r="C36" s="21"/>
      <c r="D36" s="382"/>
      <c r="E36" s="382"/>
      <c r="F36" s="382"/>
      <c r="G36" s="385"/>
      <c r="J36" s="12" t="s">
        <v>263</v>
      </c>
      <c r="K36" s="18">
        <v>71.3</v>
      </c>
      <c r="L36" s="18">
        <v>1650</v>
      </c>
      <c r="M36" s="18"/>
      <c r="N36" s="840">
        <f>+K36+L36/$N$35</f>
        <v>73.362499999999997</v>
      </c>
    </row>
    <row r="37" spans="1:16" x14ac:dyDescent="0.25">
      <c r="A37" s="12" t="s">
        <v>165</v>
      </c>
      <c r="B37" s="18"/>
      <c r="C37" s="18"/>
      <c r="D37" s="18"/>
      <c r="E37" s="236">
        <v>60</v>
      </c>
      <c r="F37" s="236">
        <v>35</v>
      </c>
      <c r="G37" s="554">
        <v>20</v>
      </c>
      <c r="J37" s="12" t="s">
        <v>252</v>
      </c>
      <c r="K37" s="18">
        <v>41</v>
      </c>
      <c r="L37" s="18">
        <v>1000</v>
      </c>
      <c r="M37" s="18"/>
      <c r="N37" s="840">
        <f t="shared" ref="N37:N38" si="4">+K37+L37/$N$35</f>
        <v>42.25</v>
      </c>
    </row>
    <row r="38" spans="1:16" ht="15.75" thickBot="1" x14ac:dyDescent="0.3">
      <c r="A38" s="324" t="s">
        <v>170</v>
      </c>
      <c r="B38" s="18"/>
      <c r="C38" s="18"/>
      <c r="D38" s="18"/>
      <c r="E38" s="18"/>
      <c r="F38" s="18"/>
      <c r="G38" s="28"/>
      <c r="J38" s="13" t="s">
        <v>253</v>
      </c>
      <c r="K38" s="34">
        <v>25</v>
      </c>
      <c r="L38" s="34"/>
      <c r="M38" s="34"/>
      <c r="N38" s="841">
        <f t="shared" si="4"/>
        <v>25</v>
      </c>
    </row>
    <row r="39" spans="1:16" x14ac:dyDescent="0.25">
      <c r="A39" s="12" t="s">
        <v>166</v>
      </c>
      <c r="B39" s="18"/>
      <c r="C39" s="18"/>
      <c r="D39" s="18"/>
      <c r="E39" s="18">
        <f t="shared" ref="E39:G39" si="5">+E37*1.1</f>
        <v>66</v>
      </c>
      <c r="F39" s="18">
        <f t="shared" si="5"/>
        <v>38.5</v>
      </c>
      <c r="G39" s="28">
        <f t="shared" si="5"/>
        <v>22</v>
      </c>
    </row>
    <row r="40" spans="1:16" ht="15.75" thickBot="1" x14ac:dyDescent="0.3">
      <c r="A40" s="13" t="s">
        <v>169</v>
      </c>
      <c r="B40" s="34"/>
      <c r="C40" s="34"/>
      <c r="D40" s="102"/>
      <c r="E40" s="102">
        <f t="shared" ref="E40:G40" si="6">+E39/3.6</f>
        <v>18.333333333333332</v>
      </c>
      <c r="F40" s="102">
        <f t="shared" si="6"/>
        <v>10.694444444444445</v>
      </c>
      <c r="G40" s="315">
        <f t="shared" si="6"/>
        <v>6.1111111111111107</v>
      </c>
    </row>
    <row r="41" spans="1:16" x14ac:dyDescent="0.25">
      <c r="A41" s="375" t="s">
        <v>103</v>
      </c>
      <c r="B41" s="3"/>
      <c r="C41" s="3"/>
      <c r="D41" s="328"/>
      <c r="E41" s="328" t="s">
        <v>167</v>
      </c>
      <c r="F41" s="328" t="s">
        <v>168</v>
      </c>
      <c r="G41" s="329" t="s">
        <v>306</v>
      </c>
    </row>
    <row r="42" spans="1:16" x14ac:dyDescent="0.25">
      <c r="A42" s="62" t="s">
        <v>92</v>
      </c>
      <c r="B42" s="21"/>
      <c r="C42" s="21"/>
      <c r="D42" s="382"/>
      <c r="E42" s="382"/>
      <c r="F42" s="382"/>
      <c r="G42" s="385"/>
    </row>
    <row r="43" spans="1:16" x14ac:dyDescent="0.25">
      <c r="A43" s="12" t="s">
        <v>165</v>
      </c>
      <c r="B43" s="21"/>
      <c r="C43" s="21"/>
      <c r="D43" s="164"/>
      <c r="E43" s="899">
        <f>+N36</f>
        <v>73.362499999999997</v>
      </c>
      <c r="F43" s="899">
        <f>+N37</f>
        <v>42.25</v>
      </c>
      <c r="G43" s="900">
        <f>+N38</f>
        <v>25</v>
      </c>
    </row>
    <row r="44" spans="1:16" x14ac:dyDescent="0.25">
      <c r="A44" s="324" t="s">
        <v>170</v>
      </c>
      <c r="B44" s="21"/>
      <c r="C44" s="21"/>
      <c r="D44" s="164"/>
      <c r="E44" s="164"/>
      <c r="F44" s="164"/>
      <c r="G44" s="386"/>
    </row>
    <row r="45" spans="1:16" x14ac:dyDescent="0.25">
      <c r="A45" s="12" t="s">
        <v>166</v>
      </c>
      <c r="B45" s="21"/>
      <c r="C45" s="21"/>
      <c r="D45" s="164"/>
      <c r="E45" s="164">
        <f t="shared" ref="E45:G45" si="7">+E43*1.1</f>
        <v>80.698750000000004</v>
      </c>
      <c r="F45" s="164">
        <f t="shared" si="7"/>
        <v>46.475000000000001</v>
      </c>
      <c r="G45" s="386">
        <f t="shared" si="7"/>
        <v>27.500000000000004</v>
      </c>
    </row>
    <row r="46" spans="1:16" x14ac:dyDescent="0.25">
      <c r="A46" s="113" t="s">
        <v>169</v>
      </c>
      <c r="B46" s="168"/>
      <c r="C46" s="168"/>
      <c r="D46" s="387"/>
      <c r="E46" s="387">
        <f t="shared" ref="E46:G46" si="8">+E45/3.6</f>
        <v>22.416319444444444</v>
      </c>
      <c r="F46" s="387">
        <f t="shared" si="8"/>
        <v>12.909722222222221</v>
      </c>
      <c r="G46" s="388">
        <f t="shared" si="8"/>
        <v>7.6388888888888893</v>
      </c>
    </row>
    <row r="47" spans="1:16" x14ac:dyDescent="0.25">
      <c r="A47" s="62" t="s">
        <v>214</v>
      </c>
      <c r="B47" s="21"/>
      <c r="C47" s="21"/>
      <c r="D47" s="382"/>
      <c r="E47" s="382"/>
      <c r="F47" s="382"/>
      <c r="G47" s="385"/>
    </row>
    <row r="48" spans="1:16" x14ac:dyDescent="0.25">
      <c r="A48" s="12" t="s">
        <v>165</v>
      </c>
      <c r="B48" s="18"/>
      <c r="C48" s="18"/>
      <c r="D48" s="18"/>
      <c r="E48" s="901">
        <f>+N36</f>
        <v>73.362499999999997</v>
      </c>
      <c r="F48" s="901">
        <f>+N37</f>
        <v>42.25</v>
      </c>
      <c r="G48" s="902">
        <f>+N38</f>
        <v>25</v>
      </c>
    </row>
    <row r="49" spans="1:10" x14ac:dyDescent="0.25">
      <c r="A49" s="324" t="s">
        <v>170</v>
      </c>
      <c r="B49" s="18"/>
      <c r="C49" s="18"/>
      <c r="D49" s="18"/>
      <c r="E49" s="18"/>
      <c r="F49" s="18"/>
      <c r="G49" s="28"/>
    </row>
    <row r="50" spans="1:10" x14ac:dyDescent="0.25">
      <c r="A50" s="12" t="s">
        <v>166</v>
      </c>
      <c r="B50" s="18"/>
      <c r="C50" s="18"/>
      <c r="D50" s="18"/>
      <c r="E50" s="18">
        <f t="shared" ref="E50:G50" si="9">+E48*1.1</f>
        <v>80.698750000000004</v>
      </c>
      <c r="F50" s="18">
        <f t="shared" si="9"/>
        <v>46.475000000000001</v>
      </c>
      <c r="G50" s="28">
        <f t="shared" si="9"/>
        <v>27.500000000000004</v>
      </c>
    </row>
    <row r="51" spans="1:10" ht="15.75" thickBot="1" x14ac:dyDescent="0.3">
      <c r="A51" s="13" t="s">
        <v>169</v>
      </c>
      <c r="B51" s="34"/>
      <c r="C51" s="34"/>
      <c r="D51" s="102"/>
      <c r="E51" s="102">
        <f t="shared" ref="E51:G51" si="10">+E50/3.6</f>
        <v>22.416319444444444</v>
      </c>
      <c r="F51" s="102">
        <f t="shared" si="10"/>
        <v>12.909722222222221</v>
      </c>
      <c r="G51" s="315">
        <f t="shared" si="10"/>
        <v>7.6388888888888893</v>
      </c>
    </row>
    <row r="52" spans="1:10" ht="15.75" thickBot="1" x14ac:dyDescent="0.3">
      <c r="A52" s="18"/>
      <c r="B52" s="18"/>
      <c r="C52" s="18"/>
      <c r="D52" s="43"/>
      <c r="E52" s="43"/>
      <c r="F52" s="43"/>
      <c r="G52" s="43"/>
    </row>
    <row r="53" spans="1:10" ht="15.75" x14ac:dyDescent="0.25">
      <c r="A53" s="724" t="s">
        <v>356</v>
      </c>
      <c r="B53" s="326"/>
      <c r="C53" s="326"/>
      <c r="D53" s="725"/>
      <c r="E53" s="725"/>
      <c r="F53" s="844"/>
      <c r="G53" s="722"/>
      <c r="H53" s="25"/>
      <c r="I53" s="25"/>
      <c r="J53" s="26"/>
    </row>
    <row r="54" spans="1:10" x14ac:dyDescent="0.25">
      <c r="A54" s="723" t="s">
        <v>106</v>
      </c>
      <c r="B54" s="18"/>
      <c r="C54" s="18"/>
      <c r="D54" s="43"/>
      <c r="E54" s="43"/>
      <c r="F54" s="845"/>
      <c r="G54" s="43"/>
      <c r="H54" s="729" t="s">
        <v>331</v>
      </c>
      <c r="I54" s="729" t="s">
        <v>108</v>
      </c>
      <c r="J54" s="730" t="s">
        <v>332</v>
      </c>
    </row>
    <row r="55" spans="1:10" x14ac:dyDescent="0.25">
      <c r="A55" s="12"/>
      <c r="B55" s="18" t="s">
        <v>34</v>
      </c>
      <c r="C55" s="18"/>
      <c r="D55" s="43"/>
      <c r="E55" s="381">
        <f>+SUM(E56:E60)</f>
        <v>1</v>
      </c>
      <c r="F55" s="12" t="s">
        <v>88</v>
      </c>
      <c r="G55" s="43"/>
      <c r="H55" s="381">
        <f>+SUM(H56:H61)</f>
        <v>1.0000000000000002</v>
      </c>
      <c r="I55" s="381">
        <f t="shared" ref="I55:J55" si="11">+SUM(I56:I61)</f>
        <v>1</v>
      </c>
      <c r="J55" s="846">
        <f t="shared" si="11"/>
        <v>1</v>
      </c>
    </row>
    <row r="56" spans="1:10" x14ac:dyDescent="0.25">
      <c r="A56" s="12"/>
      <c r="B56" s="721" t="s">
        <v>76</v>
      </c>
      <c r="C56" s="18"/>
      <c r="D56" s="43"/>
      <c r="E56" s="809">
        <v>0.1</v>
      </c>
      <c r="F56" s="94" t="s">
        <v>38</v>
      </c>
      <c r="G56" s="43"/>
      <c r="H56" s="847">
        <v>0.33</v>
      </c>
      <c r="I56" s="847">
        <v>0.36</v>
      </c>
      <c r="J56" s="810">
        <v>0.35</v>
      </c>
    </row>
    <row r="57" spans="1:10" x14ac:dyDescent="0.25">
      <c r="A57" s="12"/>
      <c r="B57" s="721" t="s">
        <v>77</v>
      </c>
      <c r="C57" s="18"/>
      <c r="D57" s="43"/>
      <c r="E57" s="809">
        <v>0.36</v>
      </c>
      <c r="F57" s="94" t="s">
        <v>39</v>
      </c>
      <c r="G57" s="43"/>
      <c r="H57" s="847">
        <v>0.24</v>
      </c>
      <c r="I57" s="847">
        <v>0.22</v>
      </c>
      <c r="J57" s="810">
        <v>0.19</v>
      </c>
    </row>
    <row r="58" spans="1:10" x14ac:dyDescent="0.25">
      <c r="A58" s="12"/>
      <c r="B58" s="721" t="s">
        <v>78</v>
      </c>
      <c r="C58" s="18"/>
      <c r="D58" s="43"/>
      <c r="E58" s="809">
        <v>0.35</v>
      </c>
      <c r="F58" s="94" t="s">
        <v>40</v>
      </c>
      <c r="G58" s="43"/>
      <c r="H58" s="847">
        <v>0.06</v>
      </c>
      <c r="I58" s="847">
        <v>0.18</v>
      </c>
      <c r="J58" s="810">
        <v>0.09</v>
      </c>
    </row>
    <row r="59" spans="1:10" x14ac:dyDescent="0.25">
      <c r="A59" s="12"/>
      <c r="B59" s="721" t="s">
        <v>79</v>
      </c>
      <c r="C59" s="18"/>
      <c r="D59" s="43"/>
      <c r="E59" s="809">
        <v>0.17</v>
      </c>
      <c r="F59" s="94" t="s">
        <v>41</v>
      </c>
      <c r="G59" s="43"/>
      <c r="H59" s="847">
        <v>0.25</v>
      </c>
      <c r="I59" s="847">
        <v>0.12</v>
      </c>
      <c r="J59" s="810">
        <v>0.22</v>
      </c>
    </row>
    <row r="60" spans="1:10" x14ac:dyDescent="0.25">
      <c r="A60" s="12"/>
      <c r="B60" s="721" t="s">
        <v>80</v>
      </c>
      <c r="C60" s="18"/>
      <c r="D60" s="43"/>
      <c r="E60" s="809">
        <v>0.02</v>
      </c>
      <c r="F60" s="94" t="s">
        <v>42</v>
      </c>
      <c r="G60" s="43"/>
      <c r="H60" s="847">
        <v>0.06</v>
      </c>
      <c r="I60" s="847">
        <v>0.06</v>
      </c>
      <c r="J60" s="810">
        <v>0.09</v>
      </c>
    </row>
    <row r="61" spans="1:10" ht="15.75" thickBot="1" x14ac:dyDescent="0.3">
      <c r="A61" s="13"/>
      <c r="B61" s="34"/>
      <c r="C61" s="34"/>
      <c r="D61" s="34"/>
      <c r="E61" s="34"/>
      <c r="F61" s="96" t="s">
        <v>37</v>
      </c>
      <c r="G61" s="34"/>
      <c r="H61" s="811">
        <v>0.06</v>
      </c>
      <c r="I61" s="811">
        <v>0.06</v>
      </c>
      <c r="J61" s="812">
        <v>0.06</v>
      </c>
    </row>
    <row r="62" spans="1:10" ht="15.75" thickBot="1" x14ac:dyDescent="0.3"/>
    <row r="63" spans="1:10" x14ac:dyDescent="0.25">
      <c r="A63" s="571" t="s">
        <v>231</v>
      </c>
      <c r="B63" s="572"/>
      <c r="C63" s="573">
        <v>2035</v>
      </c>
      <c r="D63" s="574">
        <v>2050</v>
      </c>
    </row>
    <row r="64" spans="1:10" x14ac:dyDescent="0.25">
      <c r="A64" s="12" t="s">
        <v>232</v>
      </c>
      <c r="B64" s="18"/>
      <c r="C64" s="18">
        <v>2011</v>
      </c>
      <c r="D64" s="526">
        <v>2011</v>
      </c>
    </row>
    <row r="65" spans="1:5" ht="15.75" thickBot="1" x14ac:dyDescent="0.3">
      <c r="A65" s="13" t="s">
        <v>217</v>
      </c>
      <c r="B65" s="34"/>
      <c r="C65" s="34">
        <f>+C63-C64</f>
        <v>24</v>
      </c>
      <c r="D65" s="35">
        <f>+D63-D64</f>
        <v>39</v>
      </c>
      <c r="E65" s="52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3"/>
  <sheetViews>
    <sheetView workbookViewId="0">
      <selection activeCell="A37" sqref="A37"/>
    </sheetView>
  </sheetViews>
  <sheetFormatPr defaultRowHeight="15" x14ac:dyDescent="0.25"/>
  <cols>
    <col min="1" max="1" width="29" customWidth="1"/>
    <col min="2" max="2" width="15" customWidth="1"/>
    <col min="3" max="3" width="13.140625" customWidth="1"/>
    <col min="4" max="4" width="14.140625" customWidth="1"/>
    <col min="5" max="5" width="13.140625" customWidth="1"/>
    <col min="6" max="6" width="23" customWidth="1"/>
  </cols>
  <sheetData>
    <row r="1" spans="1:16" ht="15.75" thickBot="1" x14ac:dyDescent="0.3"/>
    <row r="2" spans="1:16" x14ac:dyDescent="0.25">
      <c r="A2" s="60" t="str">
        <f>'E-tjen-forudsæt'!A4</f>
        <v>Produktionsværdier i faste priser</v>
      </c>
      <c r="B2" s="25"/>
      <c r="C2" s="440" t="s">
        <v>364</v>
      </c>
      <c r="D2" s="990"/>
    </row>
    <row r="3" spans="1:16" x14ac:dyDescent="0.25">
      <c r="A3" s="12" t="str">
        <f>'E-tjen-forudsæt'!A5</f>
        <v>Kilde:</v>
      </c>
      <c r="B3" s="18" t="str">
        <f>'E-tjen-forudsæt'!B5</f>
        <v>FM, KP13</v>
      </c>
      <c r="C3" s="18"/>
      <c r="D3" s="28"/>
    </row>
    <row r="4" spans="1:16" x14ac:dyDescent="0.25">
      <c r="A4" s="12"/>
      <c r="B4" s="1026" t="str">
        <f>'E-tjen-forudsæt'!B6</f>
        <v>Gennemsnitlig årlig vækst</v>
      </c>
      <c r="C4" s="1026"/>
      <c r="D4" s="1027"/>
    </row>
    <row r="5" spans="1:16" x14ac:dyDescent="0.25">
      <c r="A5" s="12"/>
      <c r="B5" s="18" t="str">
        <f>'E-tjen-forudsæt'!B7</f>
        <v>2011-2035</v>
      </c>
      <c r="C5" s="18" t="str">
        <f>'E-tjen-forudsæt'!C7</f>
        <v>2011-2050</v>
      </c>
      <c r="D5" s="28" t="str">
        <f>'E-tjen-forudsæt'!D7</f>
        <v>2035-2050</v>
      </c>
      <c r="G5" s="1034" t="s">
        <v>375</v>
      </c>
      <c r="H5" s="1035"/>
      <c r="I5" s="1033">
        <v>1.25</v>
      </c>
      <c r="J5" s="1033"/>
      <c r="K5" s="1033">
        <v>1.5</v>
      </c>
      <c r="L5" s="1033"/>
      <c r="M5" s="1033">
        <v>0.75</v>
      </c>
      <c r="N5" s="1033"/>
      <c r="O5" s="1033">
        <v>0.5</v>
      </c>
      <c r="P5" s="1033"/>
    </row>
    <row r="6" spans="1:16" x14ac:dyDescent="0.25">
      <c r="A6" s="12" t="str">
        <f>'E-tjen-forudsæt'!A8</f>
        <v>Kategorier i energistatistikken</v>
      </c>
      <c r="B6" s="18"/>
      <c r="C6" s="18"/>
      <c r="D6" s="28"/>
      <c r="G6" s="994">
        <v>1.2513537005733433E-2</v>
      </c>
      <c r="H6" s="994">
        <v>1.064987236408186E-2</v>
      </c>
      <c r="I6" s="994">
        <f>G6*1.25</f>
        <v>1.5641921257166791E-2</v>
      </c>
      <c r="J6" s="994">
        <f t="shared" ref="J6:J16" si="0">H6*1.25</f>
        <v>1.3312340455102325E-2</v>
      </c>
      <c r="K6" s="994">
        <f>1.5*G6</f>
        <v>1.8770305508600149E-2</v>
      </c>
      <c r="L6" s="994">
        <f t="shared" ref="L6:L16" si="1">1.5*H6</f>
        <v>1.5974808546122789E-2</v>
      </c>
      <c r="M6" s="994">
        <f>G6*0.75</f>
        <v>9.3851527543000746E-3</v>
      </c>
      <c r="N6" s="994">
        <f t="shared" ref="N6:N16" si="2">H6*0.75</f>
        <v>7.9874042730613947E-3</v>
      </c>
      <c r="O6" s="994">
        <f>G6*0.5</f>
        <v>6.2567685028667164E-3</v>
      </c>
      <c r="P6" s="994">
        <f t="shared" ref="P6:P16" si="3">H6*0.5</f>
        <v>5.3249361820409298E-3</v>
      </c>
    </row>
    <row r="7" spans="1:16" x14ac:dyDescent="0.25">
      <c r="A7" s="12" t="str">
        <f>'E-tjen-forudsæt'!A9</f>
        <v>Landbrug, gartneri, fiskeri</v>
      </c>
      <c r="B7" s="99">
        <f>'E-tjen-forudsæt'!B9</f>
        <v>1.3215161705098177E-2</v>
      </c>
      <c r="C7" s="99">
        <f>'E-tjen-forudsæt'!C9</f>
        <v>1.2940039750192645E-2</v>
      </c>
      <c r="D7" s="136">
        <f>'E-tjen-forudsæt'!D9</f>
        <v>1.2499999999999956E-2</v>
      </c>
      <c r="G7" s="994">
        <v>1.3159175118844235E-2</v>
      </c>
      <c r="H7" s="994">
        <v>1.5742884698618287E-2</v>
      </c>
      <c r="I7" s="994">
        <f t="shared" ref="I7:I16" si="4">G7*1.25</f>
        <v>1.6448968898555294E-2</v>
      </c>
      <c r="J7" s="994">
        <f t="shared" si="0"/>
        <v>1.9678605873272859E-2</v>
      </c>
      <c r="K7" s="994">
        <f t="shared" ref="K7:K16" si="5">1.5*G7</f>
        <v>1.9738762678266353E-2</v>
      </c>
      <c r="L7" s="994">
        <f t="shared" si="1"/>
        <v>2.361432704792743E-2</v>
      </c>
      <c r="M7" s="994">
        <f t="shared" ref="M7:M16" si="6">G7*0.75</f>
        <v>9.8693813391331764E-3</v>
      </c>
      <c r="N7" s="994">
        <f t="shared" si="2"/>
        <v>1.1807163523963715E-2</v>
      </c>
      <c r="O7" s="994">
        <f t="shared" ref="O7:O16" si="7">G7*0.5</f>
        <v>6.5795875594221176E-3</v>
      </c>
      <c r="P7" s="994">
        <f t="shared" si="3"/>
        <v>7.8714423493091434E-3</v>
      </c>
    </row>
    <row r="8" spans="1:16" x14ac:dyDescent="0.25">
      <c r="A8" s="12" t="str">
        <f>'E-tjen-forudsæt'!A10</f>
        <v>Fremstillingsvirksomhed</v>
      </c>
      <c r="B8" s="99">
        <f>'E-tjen-forudsæt'!B10</f>
        <v>1.1749059528412653E-2</v>
      </c>
      <c r="C8" s="99">
        <f>'E-tjen-forudsæt'!C10</f>
        <v>1.1814140514638805E-2</v>
      </c>
      <c r="D8" s="136">
        <f>'E-tjen-forudsæt'!D10</f>
        <v>1.1918278800318705E-2</v>
      </c>
      <c r="G8" s="994">
        <v>1.1749059528412653E-2</v>
      </c>
      <c r="H8" s="994">
        <v>1.1918278800318705E-2</v>
      </c>
      <c r="I8" s="994">
        <f t="shared" si="4"/>
        <v>1.4686324410515816E-2</v>
      </c>
      <c r="J8" s="994">
        <f t="shared" si="0"/>
        <v>1.4897848500398381E-2</v>
      </c>
      <c r="K8" s="994">
        <f t="shared" si="5"/>
        <v>1.762358929261898E-2</v>
      </c>
      <c r="L8" s="994">
        <f t="shared" si="1"/>
        <v>1.7877418200478057E-2</v>
      </c>
      <c r="M8" s="994">
        <f t="shared" si="6"/>
        <v>8.8117946463094898E-3</v>
      </c>
      <c r="N8" s="994">
        <f t="shared" si="2"/>
        <v>8.9387091002390284E-3</v>
      </c>
      <c r="O8" s="994">
        <f t="shared" si="7"/>
        <v>5.8745297642063266E-3</v>
      </c>
      <c r="P8" s="994">
        <f t="shared" si="3"/>
        <v>5.9591394001593523E-3</v>
      </c>
    </row>
    <row r="9" spans="1:16" x14ac:dyDescent="0.25">
      <c r="A9" s="12" t="str">
        <f>'E-tjen-forudsæt'!A11</f>
        <v>Bygge- og anlægsvirksomhed</v>
      </c>
      <c r="B9" s="99">
        <f>'E-tjen-forudsæt'!B11</f>
        <v>1.7549216479401997E-2</v>
      </c>
      <c r="C9" s="99">
        <f>'E-tjen-forudsæt'!C11</f>
        <v>1.6688852369593388E-2</v>
      </c>
      <c r="D9" s="136">
        <f>'E-tjen-forudsæt'!D11</f>
        <v>1.531378265490102E-2</v>
      </c>
      <c r="G9" s="994">
        <v>3.1283842514333582E-3</v>
      </c>
      <c r="H9" s="994">
        <v>3.1109887589001687E-3</v>
      </c>
      <c r="I9" s="994">
        <f t="shared" si="4"/>
        <v>3.9104803142916977E-3</v>
      </c>
      <c r="J9" s="994">
        <f t="shared" si="0"/>
        <v>3.8887359486252109E-3</v>
      </c>
      <c r="K9" s="994">
        <f t="shared" si="5"/>
        <v>4.6925763771500373E-3</v>
      </c>
      <c r="L9" s="994">
        <f t="shared" si="1"/>
        <v>4.666483138350253E-3</v>
      </c>
      <c r="M9" s="994">
        <f t="shared" si="6"/>
        <v>2.3462881885750186E-3</v>
      </c>
      <c r="N9" s="994">
        <f t="shared" si="2"/>
        <v>2.3332415691751265E-3</v>
      </c>
      <c r="O9" s="994">
        <f t="shared" si="7"/>
        <v>1.5641921257166791E-3</v>
      </c>
      <c r="P9" s="994">
        <f t="shared" si="3"/>
        <v>1.5554943794500843E-3</v>
      </c>
    </row>
    <row r="10" spans="1:16" x14ac:dyDescent="0.25">
      <c r="A10" s="12"/>
      <c r="B10" s="99"/>
      <c r="C10" s="99"/>
      <c r="D10" s="136"/>
      <c r="G10" s="994">
        <v>1.5641921257166791E-2</v>
      </c>
      <c r="H10" s="994">
        <v>1.3312340455102323E-2</v>
      </c>
      <c r="I10" s="994">
        <f t="shared" si="4"/>
        <v>1.9552401571458489E-2</v>
      </c>
      <c r="J10" s="994">
        <f t="shared" si="0"/>
        <v>1.6640425568877903E-2</v>
      </c>
      <c r="K10" s="994">
        <f t="shared" si="5"/>
        <v>2.3462881885750186E-2</v>
      </c>
      <c r="L10" s="994">
        <f t="shared" si="1"/>
        <v>1.9968510682653484E-2</v>
      </c>
      <c r="M10" s="994">
        <f t="shared" si="6"/>
        <v>1.1731440942875093E-2</v>
      </c>
      <c r="N10" s="994">
        <f t="shared" si="2"/>
        <v>9.9842553413267421E-3</v>
      </c>
      <c r="O10" s="994">
        <f t="shared" si="7"/>
        <v>7.8209606285833955E-3</v>
      </c>
      <c r="P10" s="994">
        <f t="shared" si="3"/>
        <v>6.6561702275511614E-3</v>
      </c>
    </row>
    <row r="11" spans="1:16" x14ac:dyDescent="0.25">
      <c r="A11" s="12" t="str">
        <f>'E-tjen-forudsæt'!A13</f>
        <v>Engros- og detailhandel</v>
      </c>
      <c r="B11" s="99">
        <f>'E-tjen-forudsæt'!B13</f>
        <v>1.3159175118844235E-2</v>
      </c>
      <c r="C11" s="99">
        <f>'E-tjen-forudsæt'!C13</f>
        <v>1.4152130895814796E-2</v>
      </c>
      <c r="D11" s="136">
        <f>'E-tjen-forudsæt'!D13</f>
        <v>1.5742884698618287E-2</v>
      </c>
      <c r="G11" s="994">
        <v>7.8209606285833955E-3</v>
      </c>
      <c r="H11" s="994">
        <v>6.6561702275511614E-3</v>
      </c>
      <c r="I11" s="994">
        <f t="shared" si="4"/>
        <v>9.7762007857292443E-3</v>
      </c>
      <c r="J11" s="994">
        <f t="shared" si="0"/>
        <v>8.3202127844389517E-3</v>
      </c>
      <c r="K11" s="994">
        <f t="shared" si="5"/>
        <v>1.1731440942875093E-2</v>
      </c>
      <c r="L11" s="994">
        <f t="shared" si="1"/>
        <v>9.9842553413267421E-3</v>
      </c>
      <c r="M11" s="994">
        <f t="shared" si="6"/>
        <v>5.8657204714375466E-3</v>
      </c>
      <c r="N11" s="994">
        <f t="shared" si="2"/>
        <v>4.992127670663371E-3</v>
      </c>
      <c r="O11" s="994">
        <f t="shared" si="7"/>
        <v>3.9104803142916977E-3</v>
      </c>
      <c r="P11" s="994">
        <f t="shared" si="3"/>
        <v>3.3280851137755807E-3</v>
      </c>
    </row>
    <row r="12" spans="1:16" x14ac:dyDescent="0.25">
      <c r="A12" s="12" t="str">
        <f>'E-tjen-forudsæt'!A14</f>
        <v>Privat service</v>
      </c>
      <c r="B12" s="99">
        <f>'E-tjen-forudsæt'!B14</f>
        <v>1.348308970021006E-2</v>
      </c>
      <c r="C12" s="99">
        <f>'E-tjen-forudsæt'!C14</f>
        <v>1.4279455971260235E-2</v>
      </c>
      <c r="D12" s="136">
        <f>'E-tjen-forudsæt'!D14</f>
        <v>1.5554943794500842E-2</v>
      </c>
      <c r="G12" s="994">
        <v>4.6996238113650619E-3</v>
      </c>
      <c r="H12" s="994">
        <v>4.7673115201274825E-3</v>
      </c>
      <c r="I12" s="994">
        <f t="shared" si="4"/>
        <v>5.8745297642063274E-3</v>
      </c>
      <c r="J12" s="994">
        <f t="shared" si="0"/>
        <v>5.9591394001593532E-3</v>
      </c>
      <c r="K12" s="994">
        <f t="shared" si="5"/>
        <v>7.0494357170475929E-3</v>
      </c>
      <c r="L12" s="994">
        <f t="shared" si="1"/>
        <v>7.1509672801912238E-3</v>
      </c>
      <c r="M12" s="994">
        <f t="shared" si="6"/>
        <v>3.5247178585237965E-3</v>
      </c>
      <c r="N12" s="994">
        <f t="shared" si="2"/>
        <v>3.5754836400956119E-3</v>
      </c>
      <c r="O12" s="994">
        <f t="shared" si="7"/>
        <v>2.349811905682531E-3</v>
      </c>
      <c r="P12" s="994">
        <f t="shared" si="3"/>
        <v>2.3836557600637413E-3</v>
      </c>
    </row>
    <row r="13" spans="1:16" x14ac:dyDescent="0.25">
      <c r="A13" s="12" t="str">
        <f>'E-tjen-forudsæt'!A15</f>
        <v>Offentlig service</v>
      </c>
      <c r="B13" s="99">
        <f>'E-tjen-forudsæt'!B15</f>
        <v>6.1248141002396839E-3</v>
      </c>
      <c r="C13" s="99">
        <f>'E-tjen-forudsæt'!C15</f>
        <v>5.6860904737183748E-3</v>
      </c>
      <c r="D13" s="136">
        <f>'E-tjen-forudsæt'!D15</f>
        <v>4.9845305545208607E-3</v>
      </c>
      <c r="G13" s="994">
        <v>1.1749059528412655E-3</v>
      </c>
      <c r="H13" s="994">
        <v>1.1918278800318706E-3</v>
      </c>
      <c r="I13" s="994">
        <f t="shared" si="4"/>
        <v>1.4686324410515819E-3</v>
      </c>
      <c r="J13" s="994">
        <f t="shared" si="0"/>
        <v>1.4897848500398383E-3</v>
      </c>
      <c r="K13" s="994">
        <f t="shared" si="5"/>
        <v>1.7623589292618982E-3</v>
      </c>
      <c r="L13" s="994">
        <f t="shared" si="1"/>
        <v>1.7877418200478059E-3</v>
      </c>
      <c r="M13" s="994">
        <f t="shared" si="6"/>
        <v>8.8117946463094911E-4</v>
      </c>
      <c r="N13" s="994">
        <f t="shared" si="2"/>
        <v>8.9387091002390297E-4</v>
      </c>
      <c r="O13" s="994">
        <f t="shared" si="7"/>
        <v>5.8745297642063274E-4</v>
      </c>
      <c r="P13" s="994">
        <f t="shared" si="3"/>
        <v>5.9591394001593532E-4</v>
      </c>
    </row>
    <row r="14" spans="1:16" x14ac:dyDescent="0.25">
      <c r="A14" s="12"/>
      <c r="B14" s="18"/>
      <c r="C14" s="18"/>
      <c r="D14" s="28"/>
      <c r="G14" s="994">
        <v>1.5641921257166791E-2</v>
      </c>
      <c r="H14" s="994">
        <v>1.3312340455102323E-2</v>
      </c>
      <c r="I14" s="994">
        <f t="shared" si="4"/>
        <v>1.9552401571458489E-2</v>
      </c>
      <c r="J14" s="994">
        <f t="shared" si="0"/>
        <v>1.6640425568877903E-2</v>
      </c>
      <c r="K14" s="994">
        <f t="shared" si="5"/>
        <v>2.3462881885750186E-2</v>
      </c>
      <c r="L14" s="994">
        <f t="shared" si="1"/>
        <v>1.9968510682653484E-2</v>
      </c>
      <c r="M14" s="994">
        <f t="shared" si="6"/>
        <v>1.1731440942875093E-2</v>
      </c>
      <c r="N14" s="994">
        <f t="shared" si="2"/>
        <v>9.9842553413267421E-3</v>
      </c>
      <c r="O14" s="994">
        <f t="shared" si="7"/>
        <v>7.8209606285833955E-3</v>
      </c>
      <c r="P14" s="994">
        <f t="shared" si="3"/>
        <v>6.6561702275511614E-3</v>
      </c>
    </row>
    <row r="15" spans="1:16" x14ac:dyDescent="0.25">
      <c r="A15" s="27" t="str">
        <f>'E-tjen-forudsæt'!A17</f>
        <v>Privat forbrug</v>
      </c>
      <c r="B15" s="18"/>
      <c r="C15" s="18"/>
      <c r="D15" s="28"/>
      <c r="G15" s="994">
        <v>0</v>
      </c>
      <c r="H15" s="994">
        <v>0</v>
      </c>
      <c r="I15" s="994">
        <f t="shared" si="4"/>
        <v>0</v>
      </c>
      <c r="J15" s="994">
        <f t="shared" si="0"/>
        <v>0</v>
      </c>
      <c r="K15" s="994">
        <f t="shared" si="5"/>
        <v>0</v>
      </c>
      <c r="L15" s="994">
        <f t="shared" si="1"/>
        <v>0</v>
      </c>
      <c r="M15" s="994">
        <f t="shared" si="6"/>
        <v>0</v>
      </c>
      <c r="N15" s="994">
        <f t="shared" si="2"/>
        <v>0</v>
      </c>
      <c r="O15" s="994">
        <f t="shared" si="7"/>
        <v>0</v>
      </c>
      <c r="P15" s="994">
        <f t="shared" si="3"/>
        <v>0</v>
      </c>
    </row>
    <row r="16" spans="1:16" x14ac:dyDescent="0.25">
      <c r="A16" s="12" t="str">
        <f>'E-tjen-forudsæt'!A18</f>
        <v>Kilde:</v>
      </c>
      <c r="B16" s="18" t="str">
        <f>'E-tjen-forudsæt'!B18</f>
        <v>FM, KP13</v>
      </c>
      <c r="C16" s="18"/>
      <c r="D16" s="28"/>
      <c r="G16" s="994">
        <v>0</v>
      </c>
      <c r="H16" s="994">
        <v>0</v>
      </c>
      <c r="I16" s="994">
        <f t="shared" si="4"/>
        <v>0</v>
      </c>
      <c r="J16" s="994">
        <f t="shared" si="0"/>
        <v>0</v>
      </c>
      <c r="K16" s="994">
        <f t="shared" si="5"/>
        <v>0</v>
      </c>
      <c r="L16" s="994">
        <f t="shared" si="1"/>
        <v>0</v>
      </c>
      <c r="M16" s="994">
        <f t="shared" si="6"/>
        <v>0</v>
      </c>
      <c r="N16" s="994">
        <f t="shared" si="2"/>
        <v>0</v>
      </c>
      <c r="O16" s="994">
        <f t="shared" si="7"/>
        <v>0</v>
      </c>
      <c r="P16" s="994">
        <f t="shared" si="3"/>
        <v>0</v>
      </c>
    </row>
    <row r="17" spans="1:11" x14ac:dyDescent="0.25">
      <c r="A17" s="12"/>
      <c r="B17" s="1026" t="str">
        <f>'E-tjen-forudsæt'!B19</f>
        <v>Gennemsnitlig årlig vækst</v>
      </c>
      <c r="C17" s="1026"/>
      <c r="D17" s="1027"/>
    </row>
    <row r="18" spans="1:11" x14ac:dyDescent="0.25">
      <c r="A18" s="12"/>
      <c r="B18" s="18" t="str">
        <f>'E-tjen-forudsæt'!B20</f>
        <v>2011-35</v>
      </c>
      <c r="C18" s="18" t="str">
        <f>'E-tjen-forudsæt'!C20</f>
        <v>2011-2050</v>
      </c>
      <c r="D18" s="28" t="str">
        <f>'E-tjen-forudsæt'!D20</f>
        <v>2035-2050</v>
      </c>
      <c r="K18" s="425"/>
    </row>
    <row r="19" spans="1:11" ht="15.75" thickBot="1" x14ac:dyDescent="0.3">
      <c r="A19" s="13" t="str">
        <f>'E-tjen-forudsæt'!A21</f>
        <v>Forbrug, fcp</v>
      </c>
      <c r="B19" s="866">
        <f>'E-tjen-forudsæt'!B21</f>
        <v>1.5641921257166791E-2</v>
      </c>
      <c r="C19" s="866">
        <f>'E-tjen-forudsæt'!C21</f>
        <v>1.4745295507787137E-2</v>
      </c>
      <c r="D19" s="137">
        <f>'E-tjen-forudsæt'!D21</f>
        <v>1.3312340455102323E-2</v>
      </c>
    </row>
    <row r="21" spans="1:11" ht="33.75" customHeight="1" x14ac:dyDescent="0.35">
      <c r="A21" s="993" t="s">
        <v>362</v>
      </c>
      <c r="B21" s="1036" t="s">
        <v>363</v>
      </c>
      <c r="C21" s="1036"/>
      <c r="D21" s="1039" t="s">
        <v>365</v>
      </c>
      <c r="E21" s="1040"/>
      <c r="F21" s="995" t="s">
        <v>366</v>
      </c>
    </row>
    <row r="22" spans="1:11" ht="21" customHeight="1" x14ac:dyDescent="0.35">
      <c r="A22" s="991"/>
      <c r="B22" s="1037"/>
      <c r="C22" s="1038"/>
      <c r="D22" s="992" t="s">
        <v>310</v>
      </c>
      <c r="E22" s="992" t="s">
        <v>342</v>
      </c>
      <c r="F22" s="989"/>
      <c r="H22">
        <v>1.25</v>
      </c>
      <c r="I22">
        <v>1.5</v>
      </c>
    </row>
    <row r="23" spans="1:11" x14ac:dyDescent="0.25">
      <c r="A23" s="989" t="str">
        <f>Transport!A10</f>
        <v>Personbiler</v>
      </c>
      <c r="B23" s="1034">
        <v>0.8</v>
      </c>
      <c r="C23" s="1035"/>
      <c r="D23" s="994">
        <v>1.2513537005733433E-2</v>
      </c>
      <c r="E23" s="994">
        <v>1.064987236408186E-2</v>
      </c>
      <c r="F23" s="989" t="s">
        <v>367</v>
      </c>
    </row>
    <row r="24" spans="1:11" x14ac:dyDescent="0.25">
      <c r="A24" s="989" t="str">
        <f>Transport!A11</f>
        <v>Varebiler</v>
      </c>
      <c r="B24" s="1034">
        <v>1</v>
      </c>
      <c r="C24" s="1035"/>
      <c r="D24" s="994">
        <v>1.3159175118844235E-2</v>
      </c>
      <c r="E24" s="994">
        <v>1.5742884698618287E-2</v>
      </c>
      <c r="F24" s="989" t="s">
        <v>368</v>
      </c>
    </row>
    <row r="25" spans="1:11" x14ac:dyDescent="0.25">
      <c r="A25" s="989" t="str">
        <f>Transport!A12</f>
        <v>Lastbiler</v>
      </c>
      <c r="B25" s="1034">
        <v>1</v>
      </c>
      <c r="C25" s="1035"/>
      <c r="D25" s="994">
        <v>1.1749059528412653E-2</v>
      </c>
      <c r="E25" s="994">
        <v>1.1918278800318705E-2</v>
      </c>
      <c r="F25" s="989" t="s">
        <v>369</v>
      </c>
    </row>
    <row r="26" spans="1:11" x14ac:dyDescent="0.25">
      <c r="A26" s="989" t="str">
        <f>Transport!A13</f>
        <v>Busser</v>
      </c>
      <c r="B26" s="1034">
        <v>0.2</v>
      </c>
      <c r="C26" s="1035"/>
      <c r="D26" s="994">
        <v>3.1283842514333582E-3</v>
      </c>
      <c r="E26" s="994">
        <v>3.1109887589001687E-3</v>
      </c>
      <c r="F26" s="989" t="s">
        <v>370</v>
      </c>
    </row>
    <row r="27" spans="1:11" x14ac:dyDescent="0.25">
      <c r="A27" s="989" t="str">
        <f>Transport!A14</f>
        <v>Motorcykler og knallerter</v>
      </c>
      <c r="B27" s="1034">
        <v>1</v>
      </c>
      <c r="C27" s="1035"/>
      <c r="D27" s="994">
        <v>1.5641921257166791E-2</v>
      </c>
      <c r="E27" s="994">
        <v>1.3312340455102323E-2</v>
      </c>
      <c r="F27" s="989" t="s">
        <v>370</v>
      </c>
    </row>
    <row r="28" spans="1:11" x14ac:dyDescent="0.25">
      <c r="A28" s="989" t="str">
        <f>Transport!A15</f>
        <v>Persontransport, bane</v>
      </c>
      <c r="B28" s="1034">
        <v>0.5</v>
      </c>
      <c r="C28" s="1035"/>
      <c r="D28" s="994">
        <v>7.8209606285833955E-3</v>
      </c>
      <c r="E28" s="994">
        <v>6.6561702275511614E-3</v>
      </c>
      <c r="F28" s="989" t="s">
        <v>370</v>
      </c>
    </row>
    <row r="29" spans="1:11" x14ac:dyDescent="0.25">
      <c r="A29" s="989" t="str">
        <f>Transport!A16</f>
        <v>Godstransport, bane</v>
      </c>
      <c r="B29" s="1034">
        <v>0.4</v>
      </c>
      <c r="C29" s="1035"/>
      <c r="D29" s="994">
        <v>4.6996238113650619E-3</v>
      </c>
      <c r="E29" s="994">
        <v>4.7673115201274825E-3</v>
      </c>
      <c r="F29" s="989" t="s">
        <v>31</v>
      </c>
    </row>
    <row r="30" spans="1:11" x14ac:dyDescent="0.25">
      <c r="A30" s="989" t="str">
        <f>Transport!A17</f>
        <v>Søtransport</v>
      </c>
      <c r="B30" s="1034">
        <v>0.1</v>
      </c>
      <c r="C30" s="1035"/>
      <c r="D30" s="994">
        <v>1.1749059528412655E-3</v>
      </c>
      <c r="E30" s="994">
        <v>1.1918278800318706E-3</v>
      </c>
      <c r="F30" s="989" t="s">
        <v>31</v>
      </c>
    </row>
    <row r="31" spans="1:11" x14ac:dyDescent="0.25">
      <c r="A31" s="989" t="str">
        <f>Transport!A18</f>
        <v>Lufttransport</v>
      </c>
      <c r="B31" s="1034">
        <v>1</v>
      </c>
      <c r="C31" s="1035"/>
      <c r="D31" s="994">
        <v>1.5641921257166791E-2</v>
      </c>
      <c r="E31" s="994">
        <v>1.3312340455102323E-2</v>
      </c>
      <c r="F31" s="989" t="s">
        <v>370</v>
      </c>
    </row>
    <row r="32" spans="1:11" x14ac:dyDescent="0.25">
      <c r="A32" s="989" t="str">
        <f>Transport!A19</f>
        <v>Forsvar - fly</v>
      </c>
      <c r="B32" s="1034">
        <v>0</v>
      </c>
      <c r="C32" s="1035"/>
      <c r="D32" s="994">
        <v>0</v>
      </c>
      <c r="E32" s="994">
        <v>0</v>
      </c>
      <c r="F32" s="989" t="s">
        <v>371</v>
      </c>
    </row>
    <row r="33" spans="1:6" x14ac:dyDescent="0.25">
      <c r="A33" s="989" t="str">
        <f>Transport!A20</f>
        <v>Forsvar - køretøjer</v>
      </c>
      <c r="B33" s="1034">
        <v>0</v>
      </c>
      <c r="C33" s="1035"/>
      <c r="D33" s="994">
        <v>0</v>
      </c>
      <c r="E33" s="994">
        <v>0</v>
      </c>
      <c r="F33" s="989" t="s">
        <v>372</v>
      </c>
    </row>
  </sheetData>
  <mergeCells count="21">
    <mergeCell ref="B31:C31"/>
    <mergeCell ref="B32:C32"/>
    <mergeCell ref="B33:C33"/>
    <mergeCell ref="D21:E21"/>
    <mergeCell ref="B24:C24"/>
    <mergeCell ref="B26:C26"/>
    <mergeCell ref="B27:C27"/>
    <mergeCell ref="B28:C28"/>
    <mergeCell ref="B29:C29"/>
    <mergeCell ref="B30:C30"/>
    <mergeCell ref="B25:C25"/>
    <mergeCell ref="B4:D4"/>
    <mergeCell ref="B17:D17"/>
    <mergeCell ref="B21:C21"/>
    <mergeCell ref="B22:C22"/>
    <mergeCell ref="B23:C23"/>
    <mergeCell ref="I5:J5"/>
    <mergeCell ref="K5:L5"/>
    <mergeCell ref="M5:N5"/>
    <mergeCell ref="O5:P5"/>
    <mergeCell ref="G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A16" workbookViewId="0">
      <selection activeCell="M51" sqref="M51"/>
    </sheetView>
  </sheetViews>
  <sheetFormatPr defaultRowHeight="15" x14ac:dyDescent="0.25"/>
  <cols>
    <col min="1" max="1" width="28.85546875" customWidth="1"/>
    <col min="2" max="2" width="20.28515625" customWidth="1"/>
    <col min="3" max="3" width="8.5703125" hidden="1" customWidth="1"/>
    <col min="4" max="4" width="9.28515625" hidden="1" customWidth="1"/>
    <col min="6" max="6" width="9" customWidth="1"/>
    <col min="7" max="7" width="8" customWidth="1"/>
    <col min="8" max="8" width="6.85546875" customWidth="1"/>
    <col min="9" max="9" width="7.42578125" customWidth="1"/>
    <col min="10" max="10" width="9.140625" customWidth="1"/>
    <col min="17" max="17" width="31.5703125" customWidth="1"/>
    <col min="18" max="18" width="9.85546875" customWidth="1"/>
    <col min="19" max="19" width="9.140625" customWidth="1"/>
    <col min="21" max="21" width="11.5703125" customWidth="1"/>
    <col min="22" max="22" width="9.5703125" bestFit="1" customWidth="1"/>
  </cols>
  <sheetData>
    <row r="1" spans="1:24" ht="18.75" x14ac:dyDescent="0.3">
      <c r="A1" s="6" t="s">
        <v>114</v>
      </c>
      <c r="D1" t="s">
        <v>247</v>
      </c>
      <c r="E1">
        <f>+'Øvr forudsæt'!C63</f>
        <v>2035</v>
      </c>
      <c r="F1">
        <f>+'Øvr forudsæt'!D63</f>
        <v>2050</v>
      </c>
    </row>
    <row r="2" spans="1:24" ht="15.75" thickBot="1" x14ac:dyDescent="0.3">
      <c r="A2" s="304" t="s">
        <v>261</v>
      </c>
      <c r="D2" t="s">
        <v>217</v>
      </c>
      <c r="E2">
        <f>+'Øvr forudsæt'!C65</f>
        <v>24</v>
      </c>
      <c r="F2">
        <f>+'Øvr forudsæt'!D65</f>
        <v>39</v>
      </c>
    </row>
    <row r="3" spans="1:24" x14ac:dyDescent="0.25">
      <c r="A3" s="877"/>
      <c r="B3" s="330"/>
      <c r="C3" s="330"/>
      <c r="D3" s="330"/>
      <c r="E3" s="330"/>
      <c r="F3" s="330"/>
      <c r="G3" s="330"/>
      <c r="H3" s="330"/>
      <c r="I3" s="555" t="s">
        <v>156</v>
      </c>
      <c r="J3" s="878"/>
      <c r="K3" s="879"/>
    </row>
    <row r="4" spans="1:24" x14ac:dyDescent="0.25">
      <c r="A4" s="880" t="s">
        <v>228</v>
      </c>
      <c r="B4" s="331"/>
      <c r="C4" s="331"/>
      <c r="D4" s="331"/>
      <c r="E4" s="332">
        <v>1980</v>
      </c>
      <c r="F4" s="332">
        <v>2011</v>
      </c>
      <c r="G4" s="332">
        <v>2035</v>
      </c>
      <c r="H4" s="332">
        <v>2050</v>
      </c>
      <c r="I4" s="333" t="s">
        <v>246</v>
      </c>
      <c r="J4" s="333" t="s">
        <v>250</v>
      </c>
      <c r="K4" s="334" t="s">
        <v>245</v>
      </c>
    </row>
    <row r="5" spans="1:24" ht="15.75" thickBot="1" x14ac:dyDescent="0.3">
      <c r="A5" s="881" t="s">
        <v>229</v>
      </c>
      <c r="B5" s="335"/>
      <c r="C5" s="335"/>
      <c r="D5" s="335"/>
      <c r="E5" s="335">
        <f>+'E-tjen-forudsæt'!B25</f>
        <v>5122</v>
      </c>
      <c r="F5" s="335">
        <f>+'E-tjen-forudsæt'!C25</f>
        <v>5561</v>
      </c>
      <c r="G5" s="335">
        <f>+'E-tjen-forudsæt'!D25</f>
        <v>5999.7330000000002</v>
      </c>
      <c r="H5" s="335">
        <f>+'E-tjen-forudsæt'!E25</f>
        <v>6135.8090000000002</v>
      </c>
      <c r="I5" s="336">
        <f>+(F5/E5)^(1/31)-1</f>
        <v>2.6561976012755562E-3</v>
      </c>
      <c r="J5" s="336">
        <f>+(G5/F5)^(1/(E2))-1</f>
        <v>3.1690533672987797E-3</v>
      </c>
      <c r="K5" s="337">
        <f>+(H5/F5)^(1/F2)-1</f>
        <v>2.5253368332296411E-3</v>
      </c>
    </row>
    <row r="6" spans="1:24" ht="15.75" thickBot="1" x14ac:dyDescent="0.3">
      <c r="G6" s="401"/>
      <c r="H6" s="401"/>
    </row>
    <row r="7" spans="1:24" x14ac:dyDescent="0.25">
      <c r="A7" s="118"/>
      <c r="B7" s="25"/>
      <c r="C7" s="25"/>
      <c r="D7" s="25"/>
      <c r="E7" s="686" t="s">
        <v>251</v>
      </c>
      <c r="F7" s="75">
        <f>+$E$1</f>
        <v>2035</v>
      </c>
      <c r="G7" s="686" t="s">
        <v>251</v>
      </c>
      <c r="H7" s="687">
        <f>+$F$1</f>
        <v>2050</v>
      </c>
      <c r="Q7" s="307" t="s">
        <v>157</v>
      </c>
      <c r="R7" s="318">
        <v>2011</v>
      </c>
      <c r="S7" s="753">
        <v>2035</v>
      </c>
      <c r="T7" s="316">
        <v>2050</v>
      </c>
      <c r="U7" s="755" t="s">
        <v>163</v>
      </c>
      <c r="V7" s="579"/>
      <c r="W7" s="347"/>
    </row>
    <row r="8" spans="1:24" x14ac:dyDescent="0.25">
      <c r="A8" s="692" t="s">
        <v>106</v>
      </c>
      <c r="B8" s="613" t="s">
        <v>122</v>
      </c>
      <c r="C8" s="613"/>
      <c r="D8" s="613" t="s">
        <v>171</v>
      </c>
      <c r="E8" s="614" t="s">
        <v>109</v>
      </c>
      <c r="F8" s="613">
        <f>+E1</f>
        <v>2035</v>
      </c>
      <c r="G8" s="614" t="s">
        <v>109</v>
      </c>
      <c r="H8" s="615">
        <f>+F1</f>
        <v>2050</v>
      </c>
      <c r="I8" s="147"/>
      <c r="J8" s="147"/>
      <c r="K8" s="147"/>
      <c r="L8" s="147"/>
      <c r="M8" s="147"/>
      <c r="N8" s="147"/>
      <c r="O8" s="147"/>
      <c r="P8" s="147"/>
      <c r="Q8" s="308"/>
      <c r="R8" s="319"/>
      <c r="S8" s="754"/>
      <c r="T8" s="314"/>
      <c r="U8" s="756" t="s">
        <v>246</v>
      </c>
      <c r="V8" s="603" t="s">
        <v>250</v>
      </c>
      <c r="W8" s="604" t="s">
        <v>245</v>
      </c>
    </row>
    <row r="9" spans="1:24" x14ac:dyDescent="0.25">
      <c r="A9" s="449" t="s">
        <v>273</v>
      </c>
      <c r="B9" s="439" t="s">
        <v>123</v>
      </c>
      <c r="C9" s="439"/>
      <c r="D9" s="439">
        <v>1</v>
      </c>
      <c r="E9" s="959">
        <f>+V32</f>
        <v>6.1852338501102722E-3</v>
      </c>
      <c r="F9" s="442">
        <f>+(1+E9)^+$E$2-1</f>
        <v>0.15949945917590802</v>
      </c>
      <c r="G9" s="561">
        <f>+W32</f>
        <v>6.0238999823911676E-3</v>
      </c>
      <c r="H9" s="452">
        <f>+(1+G9)^$F$2-1</f>
        <v>0.26393178220185765</v>
      </c>
      <c r="I9" s="10"/>
      <c r="J9" s="10"/>
      <c r="K9" s="10"/>
      <c r="L9" s="10"/>
      <c r="M9" s="10"/>
      <c r="N9" s="10"/>
      <c r="O9" s="10"/>
      <c r="P9" s="10"/>
      <c r="Q9" s="309" t="s">
        <v>158</v>
      </c>
      <c r="R9" s="752">
        <f>+'Øvr forudsæt'!D6</f>
        <v>2.0332723948811702</v>
      </c>
      <c r="S9" s="173">
        <f>+'Øvr forudsæt'!E6</f>
        <v>1.95</v>
      </c>
      <c r="T9" s="125">
        <f>+'Øvr forudsæt'!F6</f>
        <v>1.85</v>
      </c>
      <c r="U9" s="465">
        <f>'[1]Boliger - arealer'!$N$37</f>
        <v>-5.4092027143750609E-3</v>
      </c>
      <c r="V9" s="597">
        <f>+(S9/$R9)^(1/E$2)-1</f>
        <v>-1.7408637589221287E-3</v>
      </c>
      <c r="W9" s="600">
        <f>+(T9/$R9)^(1/F$2)-1</f>
        <v>-2.4191428191395747E-3</v>
      </c>
      <c r="X9" s="605"/>
    </row>
    <row r="10" spans="1:24" x14ac:dyDescent="0.25">
      <c r="A10" s="450" t="s">
        <v>274</v>
      </c>
      <c r="B10" s="18"/>
      <c r="C10" s="18"/>
      <c r="D10" s="18">
        <v>1</v>
      </c>
      <c r="E10" s="959">
        <f>+V24</f>
        <v>6.1984806034378614E-3</v>
      </c>
      <c r="F10" s="442">
        <f t="shared" ref="F10:F11" si="0">+(1+E10)^+$E$2-1</f>
        <v>0.15986587907926708</v>
      </c>
      <c r="G10" s="561">
        <f>+W24</f>
        <v>5.4477453584560465E-3</v>
      </c>
      <c r="H10" s="452">
        <f t="shared" ref="H10:H11" si="1">+(1+G10)^$F$2-1</f>
        <v>0.23600628332123796</v>
      </c>
      <c r="K10" s="10"/>
      <c r="L10" s="10"/>
      <c r="M10" s="10"/>
      <c r="N10" s="10"/>
      <c r="O10" s="10"/>
      <c r="P10" s="10"/>
      <c r="Q10" s="309" t="s">
        <v>159</v>
      </c>
      <c r="R10" s="752">
        <f>+'Øvr forudsæt'!D7</f>
        <v>0.58866544789762343</v>
      </c>
      <c r="S10" s="173">
        <f>+'Øvr forudsæt'!E7</f>
        <v>0.57999999999999996</v>
      </c>
      <c r="T10" s="125">
        <f>+'Øvr forudsæt'!F7</f>
        <v>0.56000000000000005</v>
      </c>
      <c r="U10" s="465"/>
      <c r="V10" s="597"/>
      <c r="W10" s="600"/>
      <c r="X10" s="605"/>
    </row>
    <row r="11" spans="1:24" x14ac:dyDescent="0.25">
      <c r="A11" s="450" t="s">
        <v>275</v>
      </c>
      <c r="B11" s="18"/>
      <c r="C11" s="18"/>
      <c r="D11" s="18">
        <v>1</v>
      </c>
      <c r="E11" s="959">
        <f>+V31</f>
        <v>6.1527852017730922E-3</v>
      </c>
      <c r="F11" s="442">
        <f t="shared" si="0"/>
        <v>0.15860236217112922</v>
      </c>
      <c r="G11" s="561">
        <f>+W31</f>
        <v>7.3837315013169924E-3</v>
      </c>
      <c r="H11" s="452">
        <f t="shared" si="1"/>
        <v>0.33230110704751525</v>
      </c>
      <c r="K11" s="10"/>
      <c r="L11" s="10"/>
      <c r="M11" s="10"/>
      <c r="N11" s="10"/>
      <c r="O11" s="10"/>
      <c r="P11" s="10"/>
      <c r="Q11" s="309" t="s">
        <v>160</v>
      </c>
      <c r="R11" s="752">
        <f>+'Øvr forudsæt'!D8</f>
        <v>177</v>
      </c>
      <c r="S11" s="173">
        <f>+'Øvr forudsæt'!E8</f>
        <v>177</v>
      </c>
      <c r="T11" s="125">
        <f>+'Øvr forudsæt'!F8</f>
        <v>177</v>
      </c>
      <c r="U11" s="465">
        <f>'[1]Boliger - arealer'!$E$8</f>
        <v>4.5442184759652005E-3</v>
      </c>
      <c r="V11" s="597">
        <f>+(S11/$R11)^(1/E$2)-1</f>
        <v>0</v>
      </c>
      <c r="W11" s="600">
        <f>+(T11/$R11)^(1/F$2)-1</f>
        <v>0</v>
      </c>
      <c r="X11" s="605"/>
    </row>
    <row r="12" spans="1:24" ht="15.75" thickBot="1" x14ac:dyDescent="0.3">
      <c r="A12" s="688"/>
      <c r="B12" s="439"/>
      <c r="C12" s="439"/>
      <c r="D12" s="439"/>
      <c r="E12" s="959"/>
      <c r="F12" s="442"/>
      <c r="G12" s="694"/>
      <c r="H12" s="452"/>
      <c r="I12" s="10"/>
      <c r="J12" s="10"/>
      <c r="K12" s="10"/>
      <c r="L12" s="10"/>
      <c r="M12" s="10"/>
      <c r="N12" s="10"/>
      <c r="O12" s="10"/>
      <c r="P12" s="10"/>
      <c r="Q12" s="310" t="s">
        <v>161</v>
      </c>
      <c r="R12" s="757">
        <f>+'Øvr forudsæt'!D9</f>
        <v>81.5</v>
      </c>
      <c r="S12" s="765">
        <f>+'Øvr forudsæt'!E9</f>
        <v>82</v>
      </c>
      <c r="T12" s="685">
        <f>+'Øvr forudsæt'!F9</f>
        <v>85</v>
      </c>
      <c r="U12" s="819">
        <f>'[1]Boliger - arealer'!$E$9</f>
        <v>7.8807770644484521E-4</v>
      </c>
      <c r="V12" s="601">
        <f>+(S12/$R12)^(1/E$2)-1</f>
        <v>2.5487526757617118E-4</v>
      </c>
      <c r="W12" s="602">
        <f>+(T12/$R12)^(1/F$2)-1</f>
        <v>1.0787413270054724E-3</v>
      </c>
      <c r="X12" s="605"/>
    </row>
    <row r="13" spans="1:24" x14ac:dyDescent="0.25">
      <c r="A13" s="693" t="s">
        <v>112</v>
      </c>
      <c r="B13" s="691"/>
      <c r="C13" s="691"/>
      <c r="D13" s="691"/>
      <c r="E13" s="960" t="s">
        <v>251</v>
      </c>
      <c r="F13" s="961">
        <f>+$E$1</f>
        <v>2035</v>
      </c>
      <c r="G13" s="612" t="s">
        <v>251</v>
      </c>
      <c r="H13" s="36">
        <f>+$F$1</f>
        <v>2050</v>
      </c>
      <c r="I13" s="10"/>
      <c r="J13" s="10"/>
      <c r="K13" s="10"/>
      <c r="L13" s="10"/>
      <c r="M13" s="10"/>
      <c r="N13" s="10"/>
      <c r="O13" s="10"/>
      <c r="P13" s="10"/>
    </row>
    <row r="14" spans="1:24" ht="15.75" thickBot="1" x14ac:dyDescent="0.3">
      <c r="A14" s="450" t="str">
        <f>+Husholdninger!A66</f>
        <v xml:space="preserve">    Lys</v>
      </c>
      <c r="B14" s="439" t="s">
        <v>120</v>
      </c>
      <c r="C14" s="439"/>
      <c r="D14" s="439">
        <v>1</v>
      </c>
      <c r="E14" s="959">
        <f>+E9</f>
        <v>6.1852338501102722E-3</v>
      </c>
      <c r="F14" s="442">
        <f t="shared" ref="F14:F18" si="2">+(1+E14)^+$E$2-1</f>
        <v>0.15949945917590802</v>
      </c>
      <c r="G14" s="561">
        <f>+G9</f>
        <v>6.0238999823911676E-3</v>
      </c>
      <c r="H14" s="452">
        <f t="shared" ref="H14:H18" si="3">+(1+G14)^$F$2-1</f>
        <v>0.26393178220185765</v>
      </c>
      <c r="I14" s="10"/>
      <c r="J14" s="10"/>
      <c r="K14" s="10"/>
      <c r="L14" s="10"/>
      <c r="M14" s="10"/>
      <c r="N14" s="10"/>
      <c r="O14" s="10"/>
      <c r="P14" s="10"/>
    </row>
    <row r="15" spans="1:24" x14ac:dyDescent="0.25">
      <c r="A15" s="450" t="str">
        <f>+Husholdninger!A67</f>
        <v xml:space="preserve">    Køl/frys, vask/opvask, madlavning. </v>
      </c>
      <c r="B15" s="439" t="s">
        <v>164</v>
      </c>
      <c r="C15" s="439"/>
      <c r="D15" s="439">
        <v>1</v>
      </c>
      <c r="E15" s="959">
        <f>+J5</f>
        <v>3.1690533672987797E-3</v>
      </c>
      <c r="F15" s="442">
        <f t="shared" si="2"/>
        <v>7.8894623269197162E-2</v>
      </c>
      <c r="G15" s="561">
        <f>+K5</f>
        <v>2.5253368332296411E-3</v>
      </c>
      <c r="H15" s="452">
        <f t="shared" si="3"/>
        <v>0.1033643229634913</v>
      </c>
      <c r="I15" s="10"/>
      <c r="J15" s="10"/>
      <c r="K15" s="7"/>
      <c r="L15" s="10"/>
      <c r="M15" s="10"/>
      <c r="N15" s="10"/>
      <c r="O15" s="10"/>
      <c r="P15" s="10"/>
      <c r="Q15" s="312" t="s">
        <v>162</v>
      </c>
      <c r="R15" s="758">
        <v>2011</v>
      </c>
      <c r="S15" s="577">
        <v>2035</v>
      </c>
      <c r="T15" s="316">
        <v>2050</v>
      </c>
      <c r="U15" s="316" t="s">
        <v>163</v>
      </c>
      <c r="V15" s="316"/>
      <c r="W15" s="317"/>
    </row>
    <row r="16" spans="1:24" x14ac:dyDescent="0.25">
      <c r="A16" s="450" t="str">
        <f>+Husholdninger!A68</f>
        <v xml:space="preserve">    Underholdning</v>
      </c>
      <c r="B16" s="439" t="s">
        <v>121</v>
      </c>
      <c r="C16" s="439"/>
      <c r="D16" s="439">
        <v>1</v>
      </c>
      <c r="E16" s="959">
        <f>+'E-tjen-forudsæt'!B21</f>
        <v>1.5641921257166791E-2</v>
      </c>
      <c r="F16" s="442">
        <f t="shared" si="2"/>
        <v>0.45135896658976926</v>
      </c>
      <c r="G16" s="561">
        <f>+'E-tjen-forudsæt'!C21</f>
        <v>1.4745295507787137E-2</v>
      </c>
      <c r="H16" s="452">
        <f t="shared" si="3"/>
        <v>0.76980254531657866</v>
      </c>
      <c r="I16" s="10"/>
      <c r="J16" s="10"/>
      <c r="K16" s="873" t="s">
        <v>357</v>
      </c>
      <c r="L16" s="874"/>
      <c r="M16" s="803"/>
      <c r="N16" s="10"/>
      <c r="O16" s="10"/>
      <c r="P16" s="10"/>
      <c r="Q16" s="313"/>
      <c r="R16" s="759"/>
      <c r="S16" s="578"/>
      <c r="T16" s="314"/>
      <c r="U16" s="314"/>
      <c r="V16" s="598" t="s">
        <v>250</v>
      </c>
      <c r="W16" s="599" t="s">
        <v>245</v>
      </c>
    </row>
    <row r="17" spans="1:24" x14ac:dyDescent="0.25">
      <c r="A17" s="450" t="str">
        <f>+Husholdninger!A69</f>
        <v xml:space="preserve">    Opvarmning (pumper, varmt vand mv.)</v>
      </c>
      <c r="B17" s="439" t="str">
        <f>+B14</f>
        <v>Antal kvadratmeter</v>
      </c>
      <c r="C17" s="439"/>
      <c r="D17" s="439">
        <v>1</v>
      </c>
      <c r="E17" s="959">
        <f>+E9</f>
        <v>6.1852338501102722E-3</v>
      </c>
      <c r="F17" s="442">
        <f t="shared" si="2"/>
        <v>0.15949945917590802</v>
      </c>
      <c r="G17" s="561">
        <f>+G9</f>
        <v>6.0238999823911676E-3</v>
      </c>
      <c r="H17" s="452">
        <f t="shared" si="3"/>
        <v>0.26393178220185765</v>
      </c>
      <c r="I17" s="10"/>
      <c r="J17" s="10"/>
      <c r="K17" s="794">
        <v>2011</v>
      </c>
      <c r="L17" s="690">
        <f>+E1</f>
        <v>2035</v>
      </c>
      <c r="M17" s="801">
        <f>+F1</f>
        <v>2050</v>
      </c>
      <c r="N17" s="10"/>
      <c r="O17" s="10"/>
      <c r="P17" s="10"/>
      <c r="Q17" s="309" t="s">
        <v>265</v>
      </c>
      <c r="R17" s="760">
        <f>+'E-tjen-forudsæt'!D29</f>
        <v>2735</v>
      </c>
      <c r="S17" s="586">
        <f>+G5/S9</f>
        <v>3076.7861538461539</v>
      </c>
      <c r="T17" s="586">
        <f>+H5/T9</f>
        <v>3316.6535135135136</v>
      </c>
      <c r="U17" s="587"/>
      <c r="V17" s="597">
        <f>+(S17/$R17)^(1/E$2)-1</f>
        <v>4.9184795289818339E-3</v>
      </c>
      <c r="W17" s="600">
        <f>+(T17/$R17)^(1/F$2)-1</f>
        <v>4.95647006132649E-3</v>
      </c>
      <c r="X17" t="s">
        <v>249</v>
      </c>
    </row>
    <row r="18" spans="1:24" ht="15.75" thickBot="1" x14ac:dyDescent="0.3">
      <c r="A18" s="451" t="str">
        <f>+Husholdninger!A70</f>
        <v xml:space="preserve">    Diverse</v>
      </c>
      <c r="B18" s="453" t="s">
        <v>121</v>
      </c>
      <c r="C18" s="453"/>
      <c r="D18" s="453">
        <v>1</v>
      </c>
      <c r="E18" s="962">
        <f>+'E-tjen-forudsæt'!B21</f>
        <v>1.5641921257166791E-2</v>
      </c>
      <c r="F18" s="443">
        <f t="shared" si="2"/>
        <v>0.45135896658976926</v>
      </c>
      <c r="G18" s="689">
        <f>+'E-tjen-forudsæt'!C21</f>
        <v>1.4745295507787137E-2</v>
      </c>
      <c r="H18" s="454">
        <f t="shared" si="3"/>
        <v>0.76980254531657866</v>
      </c>
      <c r="I18" s="10"/>
      <c r="J18" s="10" t="s">
        <v>101</v>
      </c>
      <c r="K18" s="875">
        <f>+'E-tjen-forudsæt'!D45</f>
        <v>121.7</v>
      </c>
      <c r="L18" s="120">
        <f>+K18+E2*'E-tjen-forudsæt'!E45</f>
        <v>158.91846153846154</v>
      </c>
      <c r="M18" s="876">
        <f>+K18+F2*'E-tjen-forudsæt'!E45</f>
        <v>182.18</v>
      </c>
      <c r="O18" s="18"/>
      <c r="Q18" s="588" t="s">
        <v>266</v>
      </c>
      <c r="R18" s="761"/>
      <c r="S18" s="589"/>
      <c r="T18" s="589"/>
      <c r="U18" s="587"/>
      <c r="V18" s="597"/>
      <c r="W18" s="600"/>
    </row>
    <row r="19" spans="1:24" x14ac:dyDescent="0.25">
      <c r="A19" s="116"/>
      <c r="B19" s="116"/>
      <c r="C19" s="116"/>
      <c r="D19" s="116"/>
      <c r="K19" s="875"/>
      <c r="L19" s="445">
        <f>+(L18/K18)^(1/E2)-1</f>
        <v>1.1180045189812304E-2</v>
      </c>
      <c r="M19" s="935">
        <f>+(M18/K18)^(1/F2)-1</f>
        <v>1.0398207687009053E-2</v>
      </c>
      <c r="N19" s="18"/>
      <c r="O19" s="934"/>
      <c r="P19" s="18"/>
      <c r="Q19" s="590" t="s">
        <v>267</v>
      </c>
      <c r="R19" s="760">
        <f>+'E-tjen-forudsæt'!D33</f>
        <v>1610</v>
      </c>
      <c r="S19" s="586">
        <f>+S$17*S10</f>
        <v>1784.5359692307691</v>
      </c>
      <c r="T19" s="586">
        <f>+T$17*T10</f>
        <v>1857.3259675675679</v>
      </c>
      <c r="U19" s="587"/>
      <c r="V19" s="597">
        <f>+(S19/$R19)^(1/E$2)-1</f>
        <v>4.2977188695683122E-3</v>
      </c>
      <c r="W19" s="600">
        <f>+(T19/$R19)^(1/F$2)-1</f>
        <v>3.6709168190642849E-3</v>
      </c>
    </row>
    <row r="20" spans="1:24" x14ac:dyDescent="0.25">
      <c r="A20" s="943" t="s">
        <v>103</v>
      </c>
      <c r="B20" s="942" t="s">
        <v>122</v>
      </c>
      <c r="C20" s="942" t="s">
        <v>171</v>
      </c>
      <c r="D20" s="942" t="s">
        <v>109</v>
      </c>
      <c r="E20" s="942">
        <f>+E1</f>
        <v>2035</v>
      </c>
      <c r="F20" s="942" t="s">
        <v>109</v>
      </c>
      <c r="G20" s="942">
        <f>+F1</f>
        <v>2050</v>
      </c>
      <c r="H20" s="944"/>
      <c r="I20" s="944"/>
      <c r="J20" s="945"/>
      <c r="K20" s="945"/>
      <c r="L20" s="945"/>
      <c r="M20" s="945"/>
      <c r="N20" s="945"/>
      <c r="O20" s="946"/>
      <c r="P20" s="18"/>
      <c r="Q20" s="590" t="s">
        <v>319</v>
      </c>
      <c r="R20" s="761"/>
      <c r="S20" s="586">
        <f>+$R$19*(1-'Øvr forudsæt'!C14)</f>
        <v>1529.5</v>
      </c>
      <c r="T20" s="586">
        <f>+$R$19*(1-'Øvr forudsæt'!D14)</f>
        <v>1449</v>
      </c>
      <c r="U20" s="587"/>
      <c r="V20" s="597"/>
      <c r="W20" s="600"/>
    </row>
    <row r="21" spans="1:24" x14ac:dyDescent="0.25">
      <c r="A21" s="938" t="s">
        <v>111</v>
      </c>
      <c r="B21" s="691" t="s">
        <v>124</v>
      </c>
      <c r="C21" s="691">
        <v>1</v>
      </c>
      <c r="D21" s="800">
        <f>+L19</f>
        <v>1.1180045189812304E-2</v>
      </c>
      <c r="E21" s="939">
        <f>+(1+D21)^E2-1</f>
        <v>0.30582137665128784</v>
      </c>
      <c r="F21" s="800">
        <f>+M19</f>
        <v>1.0398207687009053E-2</v>
      </c>
      <c r="G21" s="939">
        <f>+(1+F21)^F2-1</f>
        <v>0.49695973705834162</v>
      </c>
      <c r="H21" s="691"/>
      <c r="I21" s="691"/>
      <c r="J21" s="168"/>
      <c r="K21" s="940"/>
      <c r="L21" s="940"/>
      <c r="M21" s="5"/>
      <c r="N21" s="940"/>
      <c r="O21" s="941"/>
      <c r="P21" s="283"/>
      <c r="Q21" s="590" t="s">
        <v>320</v>
      </c>
      <c r="R21" s="761"/>
      <c r="S21" s="586">
        <f>+S19-S20</f>
        <v>255.03596923076907</v>
      </c>
      <c r="T21" s="586">
        <f>+T19-T20</f>
        <v>408.32596756756789</v>
      </c>
      <c r="U21" s="587"/>
      <c r="V21" s="597"/>
      <c r="W21" s="600"/>
    </row>
    <row r="22" spans="1:24" x14ac:dyDescent="0.25">
      <c r="A22" s="936"/>
      <c r="B22" s="937"/>
      <c r="C22" s="937"/>
      <c r="D22" s="797" t="s">
        <v>108</v>
      </c>
      <c r="E22" s="798"/>
      <c r="F22" s="798"/>
      <c r="G22" s="799"/>
      <c r="H22" s="797" t="s">
        <v>27</v>
      </c>
      <c r="I22" s="798"/>
      <c r="J22" s="798"/>
      <c r="K22" s="799"/>
      <c r="L22" s="797" t="s">
        <v>46</v>
      </c>
      <c r="M22" s="798"/>
      <c r="N22" s="798"/>
      <c r="O22" s="803"/>
      <c r="P22" s="18"/>
      <c r="Q22" s="591" t="s">
        <v>268</v>
      </c>
      <c r="R22" s="762">
        <f>+'E-tjen-forudsæt'!D34</f>
        <v>215.09626410873781</v>
      </c>
      <c r="S22" s="592">
        <f>+$R$22*(1-'Øvr forudsæt'!C14)</f>
        <v>204.34145090330091</v>
      </c>
      <c r="T22" s="592">
        <f>+$R$22*(1-'Øvr forudsæt'!D14)</f>
        <v>193.58663769786403</v>
      </c>
      <c r="U22" s="18"/>
      <c r="V22" s="597">
        <f>+(S22/$R22)^(1/E$2)-1</f>
        <v>-2.1349383697015778E-3</v>
      </c>
      <c r="W22" s="600">
        <f>+(T22/$R22)^(1/F$2)-1</f>
        <v>-2.6979057767254622E-3</v>
      </c>
    </row>
    <row r="23" spans="1:24" x14ac:dyDescent="0.25">
      <c r="D23" s="1042" t="s">
        <v>109</v>
      </c>
      <c r="E23" s="1043"/>
      <c r="F23" s="66"/>
      <c r="G23" s="92"/>
      <c r="H23" s="1042" t="s">
        <v>109</v>
      </c>
      <c r="I23" s="1044"/>
      <c r="J23" s="18"/>
      <c r="K23" s="92"/>
      <c r="L23" s="1042" t="s">
        <v>109</v>
      </c>
      <c r="M23" s="1044"/>
      <c r="N23" s="18"/>
      <c r="O23" s="92"/>
      <c r="P23" s="16"/>
      <c r="Q23" s="591" t="s">
        <v>269</v>
      </c>
      <c r="R23" s="676">
        <v>0</v>
      </c>
      <c r="S23" s="592">
        <f>+S21*S11/1000</f>
        <v>45.141366553846126</v>
      </c>
      <c r="T23" s="592">
        <f>+T21*T11/1000</f>
        <v>72.273696259459513</v>
      </c>
      <c r="U23" s="18"/>
      <c r="V23" s="597"/>
      <c r="W23" s="600"/>
    </row>
    <row r="24" spans="1:24" x14ac:dyDescent="0.25">
      <c r="A24" s="438" t="s">
        <v>112</v>
      </c>
      <c r="B24" s="439"/>
      <c r="C24" s="439"/>
      <c r="D24" s="807" t="s">
        <v>315</v>
      </c>
      <c r="E24" s="808" t="s">
        <v>338</v>
      </c>
      <c r="F24" s="794">
        <f>+E1</f>
        <v>2035</v>
      </c>
      <c r="G24" s="801">
        <f>+F1</f>
        <v>2050</v>
      </c>
      <c r="H24" s="807" t="s">
        <v>315</v>
      </c>
      <c r="I24" s="872" t="s">
        <v>338</v>
      </c>
      <c r="J24" s="690">
        <f>+E1</f>
        <v>2035</v>
      </c>
      <c r="K24" s="801">
        <f>+F1</f>
        <v>2050</v>
      </c>
      <c r="L24" s="807" t="s">
        <v>315</v>
      </c>
      <c r="M24" s="872" t="s">
        <v>338</v>
      </c>
      <c r="N24" s="690">
        <f>+E1</f>
        <v>2035</v>
      </c>
      <c r="O24" s="801">
        <f>+F1</f>
        <v>2050</v>
      </c>
      <c r="P24" s="16"/>
      <c r="Q24" s="591" t="s">
        <v>271</v>
      </c>
      <c r="R24" s="762">
        <f>+R22+R23</f>
        <v>215.09626410873781</v>
      </c>
      <c r="S24" s="592">
        <f t="shared" ref="S24:T24" si="4">+S22+S23</f>
        <v>249.48281745714704</v>
      </c>
      <c r="T24" s="592">
        <f t="shared" si="4"/>
        <v>265.86033395732352</v>
      </c>
      <c r="U24" s="18"/>
      <c r="V24" s="597">
        <f>+(S24/$R24)^(1/E$2)-1</f>
        <v>6.1984806034378614E-3</v>
      </c>
      <c r="W24" s="600">
        <f>+(T24/$R24)^(1/F$2)-1</f>
        <v>5.4477453584560465E-3</v>
      </c>
    </row>
    <row r="25" spans="1:24" x14ac:dyDescent="0.25">
      <c r="A25" s="455" t="s">
        <v>38</v>
      </c>
      <c r="B25" s="456" t="s">
        <v>125</v>
      </c>
      <c r="C25" s="795">
        <v>1</v>
      </c>
      <c r="D25" s="947">
        <f>+D21</f>
        <v>1.1180045189812304E-2</v>
      </c>
      <c r="E25" s="793">
        <f>+F21</f>
        <v>1.0398207687009053E-2</v>
      </c>
      <c r="F25" s="949">
        <f>+(1+$D25)^+$E$2-1</f>
        <v>0.30582137665128784</v>
      </c>
      <c r="G25" s="802">
        <f>+(1+$E25)^+$F$2-1</f>
        <v>0.49695973705834162</v>
      </c>
      <c r="H25" s="951">
        <f>+D21</f>
        <v>1.1180045189812304E-2</v>
      </c>
      <c r="I25" s="870">
        <f>+F21</f>
        <v>1.0398207687009053E-2</v>
      </c>
      <c r="J25" s="953">
        <f>+(1+$H25)^E$2-1</f>
        <v>0.30582137665128784</v>
      </c>
      <c r="K25" s="802">
        <f>+(1+$I25)^F$2-1</f>
        <v>0.49695973705834162</v>
      </c>
      <c r="L25" s="955">
        <f>+D21</f>
        <v>1.1180045189812304E-2</v>
      </c>
      <c r="M25" s="893">
        <f>+F21</f>
        <v>1.0398207687009053E-2</v>
      </c>
      <c r="N25" s="957">
        <f t="shared" ref="N25:N30" si="5">+(1+$L25)^E$2-1</f>
        <v>0.30582137665128784</v>
      </c>
      <c r="O25" s="804">
        <f>+(1+$M25)^F$2-1</f>
        <v>0.49695973705834162</v>
      </c>
      <c r="P25" s="16"/>
      <c r="Q25" s="593" t="s">
        <v>270</v>
      </c>
      <c r="R25" s="762"/>
      <c r="S25" s="592"/>
      <c r="T25" s="592"/>
      <c r="U25" s="18"/>
      <c r="V25" s="597"/>
      <c r="W25" s="600"/>
    </row>
    <row r="26" spans="1:24" x14ac:dyDescent="0.25">
      <c r="A26" s="455" t="s">
        <v>39</v>
      </c>
      <c r="B26" s="456" t="s">
        <v>125</v>
      </c>
      <c r="C26" s="795">
        <v>1</v>
      </c>
      <c r="D26" s="947">
        <f>+D21</f>
        <v>1.1180045189812304E-2</v>
      </c>
      <c r="E26" s="793">
        <f>+F21</f>
        <v>1.0398207687009053E-2</v>
      </c>
      <c r="F26" s="949">
        <f t="shared" ref="F26:F30" si="6">+(1+$D26)^+$E$2-1</f>
        <v>0.30582137665128784</v>
      </c>
      <c r="G26" s="802">
        <f t="shared" ref="G26:G30" si="7">+(1+$E26)^+$F$2-1</f>
        <v>0.49695973705834162</v>
      </c>
      <c r="H26" s="951">
        <f>+D21</f>
        <v>1.1180045189812304E-2</v>
      </c>
      <c r="I26" s="871">
        <f>+F21</f>
        <v>1.0398207687009053E-2</v>
      </c>
      <c r="J26" s="953">
        <f t="shared" ref="J26:J30" si="8">+(1+$H26)^E$2-1</f>
        <v>0.30582137665128784</v>
      </c>
      <c r="K26" s="802">
        <f t="shared" ref="K26:K30" si="9">+(1+$I26)^F$2-1</f>
        <v>0.49695973705834162</v>
      </c>
      <c r="L26" s="955">
        <f>+D21</f>
        <v>1.1180045189812304E-2</v>
      </c>
      <c r="M26" s="894">
        <f>+F21</f>
        <v>1.0398207687009053E-2</v>
      </c>
      <c r="N26" s="957">
        <f t="shared" si="5"/>
        <v>0.30582137665128784</v>
      </c>
      <c r="O26" s="804">
        <f>+(1+$L26)^F$2-1</f>
        <v>0.54280533683970744</v>
      </c>
      <c r="P26" s="16"/>
      <c r="Q26" s="590" t="s">
        <v>267</v>
      </c>
      <c r="R26" s="760">
        <f>+R17-R19</f>
        <v>1125</v>
      </c>
      <c r="S26" s="586">
        <f>+S17-S19</f>
        <v>1292.2501846153848</v>
      </c>
      <c r="T26" s="586">
        <f>+T17-T19</f>
        <v>1459.3275459459458</v>
      </c>
      <c r="U26" s="18"/>
      <c r="V26" s="597">
        <f>+(S26/$R26)^(1/E$2)-1</f>
        <v>5.7917909522098299E-3</v>
      </c>
      <c r="W26" s="600">
        <f>+(T26/$R26)^(1/F$2)-1</f>
        <v>6.6939126743108535E-3</v>
      </c>
    </row>
    <row r="27" spans="1:24" x14ac:dyDescent="0.25">
      <c r="A27" s="455" t="s">
        <v>40</v>
      </c>
      <c r="B27" s="456" t="s">
        <v>126</v>
      </c>
      <c r="C27" s="795">
        <v>1</v>
      </c>
      <c r="D27" s="947">
        <f>+'E-tjen-forudsæt'!B13</f>
        <v>1.3159175118844235E-2</v>
      </c>
      <c r="E27" s="793">
        <f>+'E-tjen-forudsæt'!C13</f>
        <v>1.4152130895814796E-2</v>
      </c>
      <c r="F27" s="949">
        <f t="shared" si="6"/>
        <v>0.36856163614641102</v>
      </c>
      <c r="G27" s="802">
        <f t="shared" si="7"/>
        <v>0.72990077436581835</v>
      </c>
      <c r="H27" s="951">
        <f>+'E-tjen-forudsæt'!B14</f>
        <v>1.348308970021006E-2</v>
      </c>
      <c r="I27" s="882">
        <f>+'E-tjen-forudsæt'!C14</f>
        <v>1.4279455971260235E-2</v>
      </c>
      <c r="J27" s="953">
        <f t="shared" si="8"/>
        <v>0.37910128085474915</v>
      </c>
      <c r="K27" s="802">
        <f t="shared" si="9"/>
        <v>0.73839126870941518</v>
      </c>
      <c r="L27" s="955">
        <f>+'E-tjen-forudsæt'!B15</f>
        <v>6.1248141002396839E-3</v>
      </c>
      <c r="M27" s="894">
        <f>+'E-tjen-forudsæt'!C15</f>
        <v>5.6860904737183748E-3</v>
      </c>
      <c r="N27" s="957">
        <f t="shared" si="5"/>
        <v>0.15782958826474158</v>
      </c>
      <c r="O27" s="804">
        <f>+(1+$L27)^F$2-1</f>
        <v>0.26888582578488718</v>
      </c>
      <c r="P27" s="16"/>
      <c r="Q27" s="590" t="s">
        <v>319</v>
      </c>
      <c r="R27" s="761"/>
      <c r="S27" s="586">
        <f>+$R$26*(1-'Øvr forudsæt'!C15)</f>
        <v>1068.75</v>
      </c>
      <c r="T27" s="586">
        <f>+$R$26*(1-'Øvr forudsæt'!D15)</f>
        <v>1012.5</v>
      </c>
      <c r="U27" s="18"/>
      <c r="V27" s="597"/>
      <c r="W27" s="600"/>
    </row>
    <row r="28" spans="1:24" x14ac:dyDescent="0.25">
      <c r="A28" s="455" t="s">
        <v>41</v>
      </c>
      <c r="B28" s="456" t="s">
        <v>126</v>
      </c>
      <c r="C28" s="795">
        <v>1</v>
      </c>
      <c r="D28" s="947">
        <f>+'E-tjen-forudsæt'!B13</f>
        <v>1.3159175118844235E-2</v>
      </c>
      <c r="E28" s="793">
        <f>+'E-tjen-forudsæt'!C13</f>
        <v>1.4152130895814796E-2</v>
      </c>
      <c r="F28" s="949">
        <f t="shared" si="6"/>
        <v>0.36856163614641102</v>
      </c>
      <c r="G28" s="802">
        <f t="shared" si="7"/>
        <v>0.72990077436581835</v>
      </c>
      <c r="H28" s="951">
        <f>+'E-tjen-forudsæt'!B14</f>
        <v>1.348308970021006E-2</v>
      </c>
      <c r="I28" s="882">
        <f>+'E-tjen-forudsæt'!C14</f>
        <v>1.4279455971260235E-2</v>
      </c>
      <c r="J28" s="953">
        <f t="shared" si="8"/>
        <v>0.37910128085474915</v>
      </c>
      <c r="K28" s="802">
        <f t="shared" si="9"/>
        <v>0.73839126870941518</v>
      </c>
      <c r="L28" s="955">
        <f>+'E-tjen-forudsæt'!B15</f>
        <v>6.1248141002396839E-3</v>
      </c>
      <c r="M28" s="894">
        <f>+'E-tjen-forudsæt'!C15</f>
        <v>5.6860904737183748E-3</v>
      </c>
      <c r="N28" s="957">
        <f t="shared" si="5"/>
        <v>0.15782958826474158</v>
      </c>
      <c r="O28" s="804">
        <f>+(1+$L28)^F$2-1</f>
        <v>0.26888582578488718</v>
      </c>
      <c r="P28" s="16"/>
      <c r="Q28" s="590" t="s">
        <v>320</v>
      </c>
      <c r="R28" s="761"/>
      <c r="S28" s="586">
        <f>+S26-S27</f>
        <v>223.5001846153848</v>
      </c>
      <c r="T28" s="586">
        <f>+T26-T27</f>
        <v>446.82754594594576</v>
      </c>
      <c r="U28" s="18"/>
      <c r="V28" s="597"/>
      <c r="W28" s="600"/>
    </row>
    <row r="29" spans="1:24" x14ac:dyDescent="0.25">
      <c r="A29" s="455" t="s">
        <v>233</v>
      </c>
      <c r="B29" s="456" t="s">
        <v>125</v>
      </c>
      <c r="C29" s="795">
        <v>1</v>
      </c>
      <c r="D29" s="947">
        <f>+D21</f>
        <v>1.1180045189812304E-2</v>
      </c>
      <c r="E29" s="793">
        <f>+F21</f>
        <v>1.0398207687009053E-2</v>
      </c>
      <c r="F29" s="949">
        <f t="shared" si="6"/>
        <v>0.30582137665128784</v>
      </c>
      <c r="G29" s="802">
        <f t="shared" si="7"/>
        <v>0.49695973705834162</v>
      </c>
      <c r="H29" s="951">
        <f>+D21</f>
        <v>1.1180045189812304E-2</v>
      </c>
      <c r="I29" s="871">
        <f>+F21</f>
        <v>1.0398207687009053E-2</v>
      </c>
      <c r="J29" s="953">
        <f t="shared" si="8"/>
        <v>0.30582137665128784</v>
      </c>
      <c r="K29" s="802">
        <f t="shared" si="9"/>
        <v>0.49695973705834162</v>
      </c>
      <c r="L29" s="955">
        <f>+D21</f>
        <v>1.1180045189812304E-2</v>
      </c>
      <c r="M29" s="894">
        <f>+F21</f>
        <v>1.0398207687009053E-2</v>
      </c>
      <c r="N29" s="957">
        <f t="shared" si="5"/>
        <v>0.30582137665128784</v>
      </c>
      <c r="O29" s="804">
        <f>+(1+$L29)^F$2-1</f>
        <v>0.54280533683970744</v>
      </c>
      <c r="Q29" s="591" t="s">
        <v>268</v>
      </c>
      <c r="R29" s="762">
        <f>+'E-tjen-forudsæt'!D38</f>
        <v>87.856220551456289</v>
      </c>
      <c r="S29" s="586">
        <f>+$R$29*(1-'Øvr forudsæt'!C15)</f>
        <v>83.46340952388347</v>
      </c>
      <c r="T29" s="586">
        <f>+$R$29*(1-'Øvr forudsæt'!D15)</f>
        <v>79.070598496310666</v>
      </c>
      <c r="U29" s="18"/>
      <c r="V29" s="596">
        <f>+(S29/$R29)^(1/E$2)-1</f>
        <v>-2.1349383697015778E-3</v>
      </c>
      <c r="W29" s="609">
        <f>+(T29/$R29)^(1/F$2)-1</f>
        <v>-2.6979057767254622E-3</v>
      </c>
    </row>
    <row r="30" spans="1:24" ht="15.75" thickBot="1" x14ac:dyDescent="0.3">
      <c r="A30" s="457" t="s">
        <v>37</v>
      </c>
      <c r="B30" s="458" t="s">
        <v>126</v>
      </c>
      <c r="C30" s="796">
        <v>1</v>
      </c>
      <c r="D30" s="948">
        <f>+'E-tjen-forudsæt'!B13</f>
        <v>1.3159175118844235E-2</v>
      </c>
      <c r="E30" s="800">
        <f>+'E-tjen-forudsæt'!C13</f>
        <v>1.4152130895814796E-2</v>
      </c>
      <c r="F30" s="950">
        <f t="shared" si="6"/>
        <v>0.36856163614641102</v>
      </c>
      <c r="G30" s="869">
        <f t="shared" si="7"/>
        <v>0.72990077436581835</v>
      </c>
      <c r="H30" s="952">
        <f>+'E-tjen-forudsæt'!B14</f>
        <v>1.348308970021006E-2</v>
      </c>
      <c r="I30" s="883">
        <f>+'E-tjen-forudsæt'!C14</f>
        <v>1.4279455971260235E-2</v>
      </c>
      <c r="J30" s="954">
        <f t="shared" si="8"/>
        <v>0.37910128085474915</v>
      </c>
      <c r="K30" s="869">
        <f t="shared" si="9"/>
        <v>0.73839126870941518</v>
      </c>
      <c r="L30" s="956">
        <f>+'E-tjen-forudsæt'!B15</f>
        <v>6.1248141002396839E-3</v>
      </c>
      <c r="M30" s="895">
        <f>+'E-tjen-forudsæt'!C15</f>
        <v>5.6860904737183748E-3</v>
      </c>
      <c r="N30" s="958">
        <f t="shared" si="5"/>
        <v>0.15782958826474158</v>
      </c>
      <c r="O30" s="805">
        <f>+(1+$L30)^F$2-1</f>
        <v>0.26888582578488718</v>
      </c>
      <c r="P30" s="382"/>
      <c r="Q30" s="769" t="s">
        <v>269</v>
      </c>
      <c r="R30" s="761">
        <v>0</v>
      </c>
      <c r="S30" s="586">
        <f>+S28*S12/1000</f>
        <v>18.327015138461554</v>
      </c>
      <c r="T30" s="586">
        <f>+T28*T12/1000</f>
        <v>37.980341405405383</v>
      </c>
      <c r="U30" s="18"/>
      <c r="V30" s="597"/>
      <c r="W30" s="600"/>
    </row>
    <row r="31" spans="1:24" ht="15.75" thickBot="1" x14ac:dyDescent="0.3">
      <c r="K31" s="768"/>
      <c r="L31" s="768"/>
      <c r="M31" s="21"/>
      <c r="N31" s="425"/>
      <c r="O31" s="425"/>
      <c r="P31" s="425"/>
      <c r="Q31" s="594" t="s">
        <v>271</v>
      </c>
      <c r="R31" s="763">
        <f>+R29+R30</f>
        <v>87.856220551456289</v>
      </c>
      <c r="S31" s="595">
        <f t="shared" ref="S31:T31" si="10">+S29+S30</f>
        <v>101.79042466234503</v>
      </c>
      <c r="T31" s="595">
        <f t="shared" si="10"/>
        <v>117.05093990171605</v>
      </c>
      <c r="U31" s="34"/>
      <c r="V31" s="608">
        <f>+(S31/$R31)^(1/E$2)-1</f>
        <v>6.1527852017730922E-3</v>
      </c>
      <c r="W31" s="602">
        <f>+(T31/$R31)^(1/F$2)-1</f>
        <v>7.3837315013169924E-3</v>
      </c>
    </row>
    <row r="32" spans="1:24" ht="15.75" thickBot="1" x14ac:dyDescent="0.3">
      <c r="K32" s="447"/>
      <c r="L32" s="447"/>
      <c r="M32" s="21"/>
      <c r="N32" s="425"/>
      <c r="O32" s="425"/>
      <c r="P32" s="425"/>
      <c r="Q32" s="610" t="s">
        <v>272</v>
      </c>
      <c r="R32" s="764">
        <f>+R24+R31</f>
        <v>302.9524846601941</v>
      </c>
      <c r="S32" s="611">
        <f t="shared" ref="S32:T32" si="11">+S24+S31</f>
        <v>351.27324211949207</v>
      </c>
      <c r="T32" s="611">
        <f t="shared" si="11"/>
        <v>382.91127385903957</v>
      </c>
      <c r="U32" s="34"/>
      <c r="V32" s="608">
        <f>+(S32/$R32)^(1/E$2)-1</f>
        <v>6.1852338501102722E-3</v>
      </c>
      <c r="W32" s="602">
        <f>+(T32/$R32)^(1/F$2)-1</f>
        <v>6.0238999823911676E-3</v>
      </c>
    </row>
    <row r="33" spans="1:23" x14ac:dyDescent="0.25">
      <c r="A33" s="436" t="s">
        <v>89</v>
      </c>
      <c r="B33" s="437" t="s">
        <v>122</v>
      </c>
      <c r="C33" s="437" t="s">
        <v>172</v>
      </c>
      <c r="D33" s="437" t="s">
        <v>173</v>
      </c>
      <c r="E33" s="340" t="s">
        <v>251</v>
      </c>
      <c r="F33" s="338">
        <f>+$E$1</f>
        <v>2035</v>
      </c>
      <c r="G33" s="340" t="s">
        <v>251</v>
      </c>
      <c r="H33" s="428">
        <f>+$F$1</f>
        <v>2050</v>
      </c>
      <c r="J33" s="21"/>
      <c r="K33" s="447"/>
      <c r="L33" s="447"/>
      <c r="M33" s="21"/>
      <c r="N33" s="425"/>
      <c r="O33" s="425"/>
      <c r="P33" s="425"/>
    </row>
    <row r="34" spans="1:23" x14ac:dyDescent="0.25">
      <c r="A34" s="12"/>
      <c r="B34" s="18"/>
      <c r="C34" s="18"/>
      <c r="D34" s="18"/>
      <c r="E34" s="614" t="s">
        <v>109</v>
      </c>
      <c r="F34" s="613">
        <f>+E1</f>
        <v>2035</v>
      </c>
      <c r="G34" s="614" t="s">
        <v>109</v>
      </c>
      <c r="H34" s="615">
        <f>+F1</f>
        <v>2050</v>
      </c>
      <c r="J34" s="21"/>
      <c r="K34" s="447"/>
      <c r="L34" s="447"/>
      <c r="M34" s="21"/>
      <c r="Q34" s="311"/>
      <c r="R34" s="321"/>
      <c r="S34" s="320"/>
      <c r="T34" s="320"/>
      <c r="U34" s="18"/>
      <c r="V34" s="18"/>
      <c r="W34" s="18"/>
    </row>
    <row r="35" spans="1:23" x14ac:dyDescent="0.25">
      <c r="A35" s="324" t="s">
        <v>47</v>
      </c>
      <c r="B35" s="98" t="s">
        <v>126</v>
      </c>
      <c r="C35" s="98">
        <v>1</v>
      </c>
      <c r="D35" s="98">
        <v>0.8</v>
      </c>
      <c r="E35" s="470">
        <f>+'E-tjen-forudsæt'!B9</f>
        <v>1.3215161705098177E-2</v>
      </c>
      <c r="F35" s="469">
        <f t="shared" ref="F35:F37" si="12">+(1+E35)^+$E$2-1</f>
        <v>0.37037781209504117</v>
      </c>
      <c r="G35" s="884">
        <f>+'E-tjen-forudsæt'!C9</f>
        <v>1.2940039750192645E-2</v>
      </c>
      <c r="H35" s="885">
        <f>+(1+G35)^+$F$2-1</f>
        <v>0.65107117963331773</v>
      </c>
      <c r="J35" s="21"/>
      <c r="Q35" s="311"/>
      <c r="R35" s="321"/>
      <c r="S35" s="320"/>
      <c r="T35" s="320"/>
      <c r="U35" s="18"/>
      <c r="V35" s="18"/>
      <c r="W35" s="18"/>
    </row>
    <row r="36" spans="1:23" x14ac:dyDescent="0.25">
      <c r="A36" s="324" t="s">
        <v>48</v>
      </c>
      <c r="B36" s="98" t="s">
        <v>126</v>
      </c>
      <c r="C36" s="98">
        <v>1</v>
      </c>
      <c r="D36" s="98">
        <v>0.7</v>
      </c>
      <c r="E36" s="470">
        <f>+'E-tjen-forudsæt'!B10</f>
        <v>1.1749059528412653E-2</v>
      </c>
      <c r="F36" s="469">
        <f t="shared" si="12"/>
        <v>0.32357155390644921</v>
      </c>
      <c r="G36" s="884">
        <f>+'E-tjen-forudsæt'!C10</f>
        <v>1.1814140514638805E-2</v>
      </c>
      <c r="H36" s="885">
        <f t="shared" ref="H36:H37" si="13">+(1+G36)^+$F$2-1</f>
        <v>0.58098968972375586</v>
      </c>
      <c r="J36" s="21"/>
      <c r="Q36" s="311"/>
      <c r="R36" s="321"/>
      <c r="S36" s="320"/>
      <c r="T36" s="320"/>
      <c r="U36" s="18"/>
      <c r="V36" s="18"/>
      <c r="W36" s="18"/>
    </row>
    <row r="37" spans="1:23" ht="15.75" thickBot="1" x14ac:dyDescent="0.3">
      <c r="A37" s="435" t="s">
        <v>49</v>
      </c>
      <c r="B37" s="146" t="s">
        <v>126</v>
      </c>
      <c r="C37" s="146">
        <v>1</v>
      </c>
      <c r="D37" s="146">
        <v>0.6</v>
      </c>
      <c r="E37" s="471">
        <f>+'E-tjen-forudsæt'!B11</f>
        <v>1.7549216479401997E-2</v>
      </c>
      <c r="F37" s="560">
        <f t="shared" si="12"/>
        <v>0.51820417423443788</v>
      </c>
      <c r="G37" s="887">
        <f>+'E-tjen-forudsæt'!C11</f>
        <v>1.6688852369593388E-2</v>
      </c>
      <c r="H37" s="886">
        <f t="shared" si="13"/>
        <v>0.90692848560944084</v>
      </c>
      <c r="Q37" s="311"/>
      <c r="R37" s="322"/>
      <c r="S37" s="580"/>
      <c r="T37" s="43"/>
      <c r="U37" s="16"/>
      <c r="V37" s="119"/>
      <c r="W37" s="119"/>
    </row>
    <row r="38" spans="1:23" ht="15.75" thickBot="1" x14ac:dyDescent="0.3">
      <c r="Q38" s="311"/>
      <c r="R38" s="322"/>
      <c r="S38" s="580"/>
      <c r="T38" s="43"/>
      <c r="U38" s="16"/>
      <c r="V38" s="119"/>
      <c r="W38" s="119"/>
    </row>
    <row r="39" spans="1:23" x14ac:dyDescent="0.25">
      <c r="A39" s="436" t="s">
        <v>35</v>
      </c>
      <c r="B39" s="437" t="s">
        <v>122</v>
      </c>
      <c r="C39" s="437"/>
      <c r="D39" s="437"/>
      <c r="E39" s="1041" t="s">
        <v>109</v>
      </c>
      <c r="F39" s="1041"/>
      <c r="G39" s="1045">
        <f>+E1</f>
        <v>2035</v>
      </c>
      <c r="H39" s="1047">
        <f>+F1</f>
        <v>2050</v>
      </c>
      <c r="I39" s="21" t="s">
        <v>152</v>
      </c>
      <c r="P39" s="578"/>
      <c r="Q39" s="43"/>
      <c r="R39" s="606"/>
      <c r="S39" s="43"/>
      <c r="T39" s="16"/>
      <c r="U39" s="119"/>
      <c r="V39" s="119"/>
    </row>
    <row r="40" spans="1:23" x14ac:dyDescent="0.25">
      <c r="A40" s="692"/>
      <c r="B40" s="613"/>
      <c r="C40" s="613"/>
      <c r="D40" s="613"/>
      <c r="E40" s="613" t="s">
        <v>315</v>
      </c>
      <c r="F40" s="613" t="s">
        <v>342</v>
      </c>
      <c r="G40" s="1046"/>
      <c r="H40" s="1048"/>
      <c r="I40" s="21"/>
      <c r="P40" s="578"/>
      <c r="Q40" s="43"/>
      <c r="R40" s="606"/>
      <c r="S40" s="43"/>
      <c r="T40" s="16"/>
      <c r="U40" s="119"/>
      <c r="V40" s="119"/>
    </row>
    <row r="41" spans="1:23" x14ac:dyDescent="0.25">
      <c r="A41" s="444" t="s">
        <v>2</v>
      </c>
      <c r="B41" s="98" t="s">
        <v>151</v>
      </c>
      <c r="C41" s="98"/>
      <c r="D41" s="98"/>
      <c r="E41" s="445">
        <f>'transport foruds.'!D23</f>
        <v>1.2513537005733433E-2</v>
      </c>
      <c r="F41" s="445">
        <f>'transport foruds.'!E23</f>
        <v>1.064987236408186E-2</v>
      </c>
      <c r="G41" s="972">
        <f t="shared" ref="G41:G51" si="14">+(1+$E41)^+E$2-1</f>
        <v>0.34778345108984343</v>
      </c>
      <c r="H41" s="973">
        <f t="shared" ref="H41:H51" si="15">+G41+((1+$F41)^($H$39-$G$39)-1)</f>
        <v>0.5200081891536581</v>
      </c>
      <c r="P41" s="18"/>
      <c r="Q41" s="18"/>
      <c r="R41" s="18"/>
      <c r="S41" s="18"/>
      <c r="T41" s="18"/>
      <c r="U41" s="18"/>
      <c r="V41" s="18"/>
    </row>
    <row r="42" spans="1:23" x14ac:dyDescent="0.25">
      <c r="A42" s="444" t="s">
        <v>139</v>
      </c>
      <c r="B42" s="98" t="s">
        <v>151</v>
      </c>
      <c r="C42" s="98"/>
      <c r="D42" s="98"/>
      <c r="E42" s="445">
        <f>'transport foruds.'!D24</f>
        <v>1.3159175118844235E-2</v>
      </c>
      <c r="F42" s="445">
        <f>'transport foruds.'!E24</f>
        <v>1.5742884698618287E-2</v>
      </c>
      <c r="G42" s="972">
        <f t="shared" si="14"/>
        <v>0.36856163614641102</v>
      </c>
      <c r="H42" s="973">
        <f t="shared" si="15"/>
        <v>0.63259003550799409</v>
      </c>
    </row>
    <row r="43" spans="1:23" x14ac:dyDescent="0.25">
      <c r="A43" s="444" t="s">
        <v>3</v>
      </c>
      <c r="B43" s="98" t="s">
        <v>151</v>
      </c>
      <c r="C43" s="98"/>
      <c r="D43" s="98"/>
      <c r="E43" s="445">
        <f>'transport foruds.'!D25</f>
        <v>1.1749059528412653E-2</v>
      </c>
      <c r="F43" s="445">
        <f>'transport foruds.'!E25</f>
        <v>1.1918278800318705E-2</v>
      </c>
      <c r="G43" s="972">
        <f t="shared" si="14"/>
        <v>0.32357155390644921</v>
      </c>
      <c r="H43" s="973">
        <f t="shared" si="15"/>
        <v>0.51805906389980683</v>
      </c>
    </row>
    <row r="44" spans="1:23" x14ac:dyDescent="0.25">
      <c r="A44" s="444" t="s">
        <v>140</v>
      </c>
      <c r="B44" s="98" t="s">
        <v>151</v>
      </c>
      <c r="C44" s="98"/>
      <c r="D44" s="98"/>
      <c r="E44" s="445">
        <f>'transport foruds.'!D26</f>
        <v>3.1283842514333582E-3</v>
      </c>
      <c r="F44" s="445">
        <f>'transport foruds.'!E26</f>
        <v>3.1109887589001687E-3</v>
      </c>
      <c r="G44" s="972">
        <f t="shared" si="14"/>
        <v>7.7845374634607944E-2</v>
      </c>
      <c r="H44" s="973">
        <f t="shared" si="15"/>
        <v>0.12554025067966057</v>
      </c>
    </row>
    <row r="45" spans="1:23" x14ac:dyDescent="0.25">
      <c r="A45" s="444" t="s">
        <v>143</v>
      </c>
      <c r="B45" s="98" t="s">
        <v>151</v>
      </c>
      <c r="C45" s="98"/>
      <c r="D45" s="98"/>
      <c r="E45" s="445">
        <f>'transport foruds.'!D27</f>
        <v>1.5641921257166791E-2</v>
      </c>
      <c r="F45" s="445">
        <f>'transport foruds.'!E27</f>
        <v>1.3312340455102323E-2</v>
      </c>
      <c r="G45" s="972">
        <f t="shared" si="14"/>
        <v>0.45135896658976926</v>
      </c>
      <c r="H45" s="973">
        <f t="shared" si="15"/>
        <v>0.6707695921189194</v>
      </c>
    </row>
    <row r="46" spans="1:23" x14ac:dyDescent="0.25">
      <c r="A46" s="444" t="s">
        <v>144</v>
      </c>
      <c r="B46" s="98"/>
      <c r="C46" s="98"/>
      <c r="D46" s="98"/>
      <c r="E46" s="445">
        <f>'transport foruds.'!D28</f>
        <v>7.8209606285833955E-3</v>
      </c>
      <c r="F46" s="445">
        <f>'transport foruds.'!E28</f>
        <v>6.6561702275511614E-3</v>
      </c>
      <c r="G46" s="972">
        <f t="shared" si="14"/>
        <v>0.20559455365284518</v>
      </c>
      <c r="H46" s="973">
        <f t="shared" si="15"/>
        <v>0.31022598834913251</v>
      </c>
    </row>
    <row r="47" spans="1:23" x14ac:dyDescent="0.25">
      <c r="A47" s="444" t="s">
        <v>145</v>
      </c>
      <c r="B47" s="98"/>
      <c r="C47" s="98"/>
      <c r="D47" s="98"/>
      <c r="E47" s="445">
        <f>'transport foruds.'!D29</f>
        <v>4.6996238113650619E-3</v>
      </c>
      <c r="F47" s="445">
        <f>'transport foruds.'!E29</f>
        <v>4.7673115201274825E-3</v>
      </c>
      <c r="G47" s="972">
        <f t="shared" si="14"/>
        <v>0.11910220522449211</v>
      </c>
      <c r="H47" s="973">
        <f t="shared" si="15"/>
        <v>0.19304825105558931</v>
      </c>
    </row>
    <row r="48" spans="1:23" x14ac:dyDescent="0.25">
      <c r="A48" s="446" t="s">
        <v>147</v>
      </c>
      <c r="B48" s="120"/>
      <c r="C48" s="120"/>
      <c r="D48" s="120"/>
      <c r="E48" s="445">
        <f>'transport foruds.'!D30</f>
        <v>1.1749059528412655E-3</v>
      </c>
      <c r="F48" s="445">
        <f>'transport foruds.'!E30</f>
        <v>1.1918278800318706E-3</v>
      </c>
      <c r="G48" s="972">
        <f t="shared" si="14"/>
        <v>2.8582037329186516E-2</v>
      </c>
      <c r="H48" s="973">
        <f t="shared" si="15"/>
        <v>4.6609376215108744E-2</v>
      </c>
    </row>
    <row r="49" spans="1:8" x14ac:dyDescent="0.25">
      <c r="A49" s="446" t="s">
        <v>148</v>
      </c>
      <c r="B49" s="120"/>
      <c r="C49" s="120"/>
      <c r="D49" s="120"/>
      <c r="E49" s="445">
        <f>'transport foruds.'!D31</f>
        <v>1.5641921257166791E-2</v>
      </c>
      <c r="F49" s="445">
        <f>'transport foruds.'!E31</f>
        <v>1.3312340455102323E-2</v>
      </c>
      <c r="G49" s="972">
        <f t="shared" si="14"/>
        <v>0.45135896658976926</v>
      </c>
      <c r="H49" s="973">
        <f t="shared" si="15"/>
        <v>0.6707695921189194</v>
      </c>
    </row>
    <row r="50" spans="1:8" x14ac:dyDescent="0.25">
      <c r="A50" s="446" t="s">
        <v>149</v>
      </c>
      <c r="B50" s="120"/>
      <c r="C50" s="120"/>
      <c r="D50" s="120"/>
      <c r="E50" s="445">
        <f>'transport foruds.'!D32</f>
        <v>0</v>
      </c>
      <c r="F50" s="445">
        <f>'transport foruds.'!E32</f>
        <v>0</v>
      </c>
      <c r="G50" s="972">
        <f t="shared" si="14"/>
        <v>0</v>
      </c>
      <c r="H50" s="973">
        <f t="shared" si="15"/>
        <v>0</v>
      </c>
    </row>
    <row r="51" spans="1:8" ht="15.75" thickBot="1" x14ac:dyDescent="0.3">
      <c r="A51" s="448" t="s">
        <v>150</v>
      </c>
      <c r="B51" s="145"/>
      <c r="C51" s="145"/>
      <c r="D51" s="145"/>
      <c r="E51" s="820">
        <f>'transport foruds.'!D33</f>
        <v>0</v>
      </c>
      <c r="F51" s="820">
        <f>'transport foruds.'!E33</f>
        <v>0</v>
      </c>
      <c r="G51" s="974">
        <f t="shared" si="14"/>
        <v>0</v>
      </c>
      <c r="H51" s="975">
        <f t="shared" si="15"/>
        <v>0</v>
      </c>
    </row>
  </sheetData>
  <mergeCells count="6">
    <mergeCell ref="E39:F39"/>
    <mergeCell ref="D23:E23"/>
    <mergeCell ref="H23:I23"/>
    <mergeCell ref="L23:M23"/>
    <mergeCell ref="G39:G40"/>
    <mergeCell ref="H39:H40"/>
  </mergeCells>
  <pageMargins left="0.70866141732283472" right="0.27559055118110237" top="0.44" bottom="0.74803149606299213" header="0.31496062992125984" footer="0.31496062992125984"/>
  <pageSetup paperSize="8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S74"/>
  <sheetViews>
    <sheetView topLeftCell="C51" zoomScale="110" zoomScaleNormal="110" workbookViewId="0">
      <selection activeCell="M80" sqref="M80"/>
    </sheetView>
  </sheetViews>
  <sheetFormatPr defaultRowHeight="15" x14ac:dyDescent="0.25"/>
  <cols>
    <col min="2" max="2" width="9.5703125" customWidth="1"/>
    <col min="3" max="3" width="26.85546875" customWidth="1"/>
    <col min="4" max="5" width="10.7109375" hidden="1" customWidth="1"/>
  </cols>
  <sheetData>
    <row r="1" spans="1:19" ht="18.75" x14ac:dyDescent="0.3">
      <c r="A1" s="6" t="s">
        <v>113</v>
      </c>
    </row>
    <row r="2" spans="1:19" x14ac:dyDescent="0.25">
      <c r="A2" t="s">
        <v>343</v>
      </c>
      <c r="F2" t="s">
        <v>247</v>
      </c>
      <c r="G2">
        <f>+'Øvr forudsæt'!C65</f>
        <v>24</v>
      </c>
      <c r="H2">
        <f>+'Øvr forudsæt'!D65</f>
        <v>39</v>
      </c>
    </row>
    <row r="3" spans="1:19" ht="19.5" thickBot="1" x14ac:dyDescent="0.35">
      <c r="A3" s="6"/>
    </row>
    <row r="4" spans="1:19" x14ac:dyDescent="0.25">
      <c r="A4" s="459"/>
      <c r="B4" s="440"/>
      <c r="C4" s="459"/>
      <c r="D4" s="1061" t="s">
        <v>136</v>
      </c>
      <c r="E4" s="1062"/>
      <c r="F4" s="556" t="s">
        <v>54</v>
      </c>
      <c r="G4" s="559"/>
      <c r="H4" s="557"/>
      <c r="I4" s="556" t="s">
        <v>382</v>
      </c>
      <c r="J4" s="559"/>
      <c r="K4" s="557"/>
      <c r="L4" s="556" t="s">
        <v>56</v>
      </c>
      <c r="M4" s="559"/>
      <c r="N4" s="558"/>
    </row>
    <row r="5" spans="1:19" x14ac:dyDescent="0.25">
      <c r="A5" s="324"/>
      <c r="B5" s="120"/>
      <c r="C5" s="324"/>
      <c r="D5" s="460" t="s">
        <v>109</v>
      </c>
      <c r="E5" s="461" t="s">
        <v>110</v>
      </c>
      <c r="F5" s="472" t="s">
        <v>109</v>
      </c>
      <c r="G5" s="473">
        <f>+'Øvr forudsæt'!$C$63</f>
        <v>2035</v>
      </c>
      <c r="H5" s="473">
        <f>+'Øvr forudsæt'!$D$63</f>
        <v>2050</v>
      </c>
      <c r="I5" s="472" t="s">
        <v>109</v>
      </c>
      <c r="J5" s="473">
        <f>+'Øvr forudsæt'!$C$63</f>
        <v>2035</v>
      </c>
      <c r="K5" s="473">
        <f>+'Øvr forudsæt'!$D$63</f>
        <v>2050</v>
      </c>
      <c r="L5" s="472" t="s">
        <v>109</v>
      </c>
      <c r="M5" s="473">
        <f>+'Øvr forudsæt'!$C$63</f>
        <v>2035</v>
      </c>
      <c r="N5" s="474">
        <f>+'Øvr forudsæt'!$D$63</f>
        <v>2050</v>
      </c>
    </row>
    <row r="6" spans="1:19" x14ac:dyDescent="0.25">
      <c r="A6" s="12"/>
      <c r="B6" s="463"/>
      <c r="C6" s="462" t="s">
        <v>106</v>
      </c>
      <c r="D6" s="963"/>
      <c r="E6" s="120"/>
      <c r="F6" s="464"/>
      <c r="G6" s="120"/>
      <c r="H6" s="120"/>
      <c r="I6" s="464"/>
      <c r="J6" s="120"/>
      <c r="K6" s="120"/>
      <c r="L6" s="464"/>
      <c r="M6" s="120"/>
      <c r="N6" s="441"/>
    </row>
    <row r="7" spans="1:19" x14ac:dyDescent="0.25">
      <c r="A7" s="324"/>
      <c r="B7" s="18"/>
      <c r="C7" s="438" t="s">
        <v>115</v>
      </c>
      <c r="D7" s="465"/>
      <c r="E7" s="445"/>
      <c r="F7" s="465"/>
      <c r="G7" s="445"/>
      <c r="H7" s="351"/>
      <c r="I7" s="465"/>
      <c r="J7" s="445"/>
      <c r="K7" s="351"/>
      <c r="L7" s="465"/>
      <c r="M7" s="445"/>
      <c r="N7" s="466"/>
      <c r="S7" t="s">
        <v>101</v>
      </c>
    </row>
    <row r="8" spans="1:19" x14ac:dyDescent="0.25">
      <c r="A8" s="324"/>
      <c r="B8" s="120"/>
      <c r="C8" s="324" t="s">
        <v>59</v>
      </c>
      <c r="D8" s="964">
        <v>0</v>
      </c>
      <c r="E8" s="970">
        <f>+(1+D8)^42-1</f>
        <v>0</v>
      </c>
      <c r="F8" s="465">
        <v>6.0000000000000001E-3</v>
      </c>
      <c r="G8" s="970">
        <f>+(1+$F8)^$G$2-1</f>
        <v>0.15438729218495051</v>
      </c>
      <c r="H8" s="970">
        <f>+(1+$F8)^$H$2-1</f>
        <v>0.26276125501455927</v>
      </c>
      <c r="I8" s="465">
        <v>7.4999999999999997E-3</v>
      </c>
      <c r="J8" s="442">
        <f>+(1+$I8)^G$2-1</f>
        <v>0.1964135293926228</v>
      </c>
      <c r="K8" s="970">
        <f>+(1+$I8)^H$2-1</f>
        <v>0.33831127775326819</v>
      </c>
      <c r="L8" s="465">
        <v>9.4999999999999998E-3</v>
      </c>
      <c r="M8" s="442">
        <f>+(1+$L8)^G$2-1</f>
        <v>0.25473426671965282</v>
      </c>
      <c r="N8" s="976">
        <f>+(1+$L8)^H$2-1</f>
        <v>0.4459278005974161</v>
      </c>
    </row>
    <row r="9" spans="1:19" x14ac:dyDescent="0.25">
      <c r="A9" s="324"/>
      <c r="B9" s="120"/>
      <c r="C9" s="324" t="s">
        <v>60</v>
      </c>
      <c r="D9" s="964">
        <v>0</v>
      </c>
      <c r="E9" s="970">
        <f>+(1+D9)^42-1</f>
        <v>0</v>
      </c>
      <c r="F9" s="465">
        <v>6.0000000000000001E-3</v>
      </c>
      <c r="G9" s="970">
        <f t="shared" ref="G9:G41" si="0">+(1+$F9)^$G$2-1</f>
        <v>0.15438729218495051</v>
      </c>
      <c r="H9" s="970">
        <f t="shared" ref="H9:H41" si="1">+(1+$F9)^$H$2-1</f>
        <v>0.26276125501455927</v>
      </c>
      <c r="I9" s="465">
        <v>7.4999999999999997E-3</v>
      </c>
      <c r="J9" s="442">
        <f t="shared" ref="J9:J41" si="2">+(1+$I9)^G$2-1</f>
        <v>0.1964135293926228</v>
      </c>
      <c r="K9" s="970">
        <f t="shared" ref="K9:K41" si="3">+(1+$I9)^H$2-1</f>
        <v>0.33831127775326819</v>
      </c>
      <c r="L9" s="465">
        <v>9.4999999999999998E-3</v>
      </c>
      <c r="M9" s="442">
        <f t="shared" ref="M9:M41" si="4">+(1+$L9)^G$2-1</f>
        <v>0.25473426671965282</v>
      </c>
      <c r="N9" s="976">
        <f t="shared" ref="N9:N41" si="5">+(1+$L9)^H$2-1</f>
        <v>0.4459278005974161</v>
      </c>
    </row>
    <row r="10" spans="1:19" x14ac:dyDescent="0.25">
      <c r="A10" s="324"/>
      <c r="B10" s="18"/>
      <c r="C10" s="438" t="s">
        <v>112</v>
      </c>
      <c r="D10" s="465"/>
      <c r="E10" s="978"/>
      <c r="F10" s="465"/>
      <c r="G10" s="970"/>
      <c r="H10" s="970"/>
      <c r="I10" s="465"/>
      <c r="J10" s="442"/>
      <c r="K10" s="970"/>
      <c r="L10" s="465"/>
      <c r="M10" s="442"/>
      <c r="N10" s="976"/>
    </row>
    <row r="11" spans="1:19" x14ac:dyDescent="0.25">
      <c r="A11" s="324"/>
      <c r="B11" s="120"/>
      <c r="C11" s="324" t="str">
        <f>+Husholdninger!A66</f>
        <v xml:space="preserve">    Lys</v>
      </c>
      <c r="D11" s="964">
        <v>0</v>
      </c>
      <c r="E11" s="979"/>
      <c r="F11" s="465">
        <v>7.4999999999999997E-3</v>
      </c>
      <c r="G11" s="970">
        <f t="shared" si="0"/>
        <v>0.1964135293926228</v>
      </c>
      <c r="H11" s="970">
        <f t="shared" si="1"/>
        <v>0.33831127775326819</v>
      </c>
      <c r="I11" s="465">
        <v>8.9999999999999993E-3</v>
      </c>
      <c r="J11" s="442">
        <f t="shared" si="2"/>
        <v>0.23990379622210423</v>
      </c>
      <c r="K11" s="970">
        <f t="shared" si="3"/>
        <v>0.41825878787702897</v>
      </c>
      <c r="L11" s="465">
        <v>1.0999999999999999E-2</v>
      </c>
      <c r="M11" s="442">
        <f t="shared" si="4"/>
        <v>0.30025260992810354</v>
      </c>
      <c r="N11" s="976">
        <f t="shared" si="5"/>
        <v>0.53212806550304403</v>
      </c>
    </row>
    <row r="12" spans="1:19" x14ac:dyDescent="0.25">
      <c r="A12" s="324"/>
      <c r="B12" s="120"/>
      <c r="C12" s="324" t="str">
        <f>+Husholdninger!A67</f>
        <v xml:space="preserve">    Køl/frys, vask/opvask, madlavning. </v>
      </c>
      <c r="D12" s="964">
        <v>0</v>
      </c>
      <c r="E12" s="979"/>
      <c r="F12" s="465">
        <v>7.0000000000000001E-3</v>
      </c>
      <c r="G12" s="970">
        <f t="shared" si="0"/>
        <v>0.18224447551513423</v>
      </c>
      <c r="H12" s="970">
        <f t="shared" si="1"/>
        <v>0.31265123527349603</v>
      </c>
      <c r="I12" s="465">
        <v>8.0000000000000002E-3</v>
      </c>
      <c r="J12" s="442">
        <f t="shared" si="2"/>
        <v>0.21074524088895652</v>
      </c>
      <c r="K12" s="970">
        <f t="shared" si="3"/>
        <v>0.36445982309592218</v>
      </c>
      <c r="L12" s="465">
        <v>8.9999999999999993E-3</v>
      </c>
      <c r="M12" s="442">
        <f t="shared" si="4"/>
        <v>0.23990379622210423</v>
      </c>
      <c r="N12" s="976">
        <f t="shared" si="5"/>
        <v>0.41825878787702897</v>
      </c>
    </row>
    <row r="13" spans="1:19" x14ac:dyDescent="0.25">
      <c r="A13" s="324"/>
      <c r="B13" s="120"/>
      <c r="C13" s="324" t="str">
        <f>+Husholdninger!A68</f>
        <v xml:space="preserve">    Underholdning</v>
      </c>
      <c r="D13" s="964">
        <v>0</v>
      </c>
      <c r="E13" s="979"/>
      <c r="F13" s="465">
        <v>8.0000000000000002E-3</v>
      </c>
      <c r="G13" s="970">
        <f t="shared" si="0"/>
        <v>0.21074524088895652</v>
      </c>
      <c r="H13" s="970">
        <f t="shared" si="1"/>
        <v>0.36445982309592218</v>
      </c>
      <c r="I13" s="465">
        <v>1.0999999999999999E-2</v>
      </c>
      <c r="J13" s="442">
        <f t="shared" si="2"/>
        <v>0.30025260992810354</v>
      </c>
      <c r="K13" s="970">
        <f t="shared" si="3"/>
        <v>0.53212806550304403</v>
      </c>
      <c r="L13" s="465">
        <v>1.2500000000000001E-2</v>
      </c>
      <c r="M13" s="442">
        <f t="shared" si="4"/>
        <v>0.34735105041435088</v>
      </c>
      <c r="N13" s="976">
        <f t="shared" si="5"/>
        <v>0.62332786517235772</v>
      </c>
    </row>
    <row r="14" spans="1:19" x14ac:dyDescent="0.25">
      <c r="A14" s="324"/>
      <c r="B14" s="120"/>
      <c r="C14" s="324" t="str">
        <f>+Husholdninger!A69</f>
        <v xml:space="preserve">    Opvarmning (pumper, varmt vand mv.)</v>
      </c>
      <c r="D14" s="964">
        <v>0</v>
      </c>
      <c r="E14" s="979"/>
      <c r="F14" s="465">
        <v>7.0000000000000001E-3</v>
      </c>
      <c r="G14" s="970">
        <f t="shared" si="0"/>
        <v>0.18224447551513423</v>
      </c>
      <c r="H14" s="970">
        <f t="shared" si="1"/>
        <v>0.31265123527349603</v>
      </c>
      <c r="I14" s="465">
        <v>8.0000000000000002E-3</v>
      </c>
      <c r="J14" s="442">
        <f t="shared" si="2"/>
        <v>0.21074524088895652</v>
      </c>
      <c r="K14" s="970">
        <f t="shared" si="3"/>
        <v>0.36445982309592218</v>
      </c>
      <c r="L14" s="465">
        <v>0.01</v>
      </c>
      <c r="M14" s="442">
        <f t="shared" si="4"/>
        <v>0.26973464853191498</v>
      </c>
      <c r="N14" s="976">
        <f t="shared" si="5"/>
        <v>0.47412250850318927</v>
      </c>
    </row>
    <row r="15" spans="1:19" x14ac:dyDescent="0.25">
      <c r="A15" s="467"/>
      <c r="B15" s="121"/>
      <c r="C15" s="467" t="str">
        <f>+Husholdninger!A70</f>
        <v xml:space="preserve">    Diverse</v>
      </c>
      <c r="D15" s="965">
        <v>0</v>
      </c>
      <c r="E15" s="980"/>
      <c r="F15" s="468">
        <v>8.9999999999999993E-3</v>
      </c>
      <c r="G15" s="970">
        <f t="shared" si="0"/>
        <v>0.23990379622210423</v>
      </c>
      <c r="H15" s="970">
        <f t="shared" si="1"/>
        <v>0.41825878787702897</v>
      </c>
      <c r="I15" s="468">
        <v>1.0999999999999999E-2</v>
      </c>
      <c r="J15" s="442">
        <f t="shared" si="2"/>
        <v>0.30025260992810354</v>
      </c>
      <c r="K15" s="970">
        <f t="shared" si="3"/>
        <v>0.53212806550304403</v>
      </c>
      <c r="L15" s="468">
        <v>1.2500000000000001E-2</v>
      </c>
      <c r="M15" s="442">
        <f t="shared" si="4"/>
        <v>0.34735105041435088</v>
      </c>
      <c r="N15" s="976">
        <f t="shared" si="5"/>
        <v>0.62332786517235772</v>
      </c>
    </row>
    <row r="16" spans="1:19" x14ac:dyDescent="0.25">
      <c r="A16" s="324"/>
      <c r="B16" s="120"/>
      <c r="C16" s="324"/>
      <c r="D16" s="464"/>
      <c r="E16" s="979"/>
      <c r="F16" s="561"/>
      <c r="G16" s="970"/>
      <c r="H16" s="970"/>
      <c r="I16" s="561"/>
      <c r="J16" s="469"/>
      <c r="K16" s="970"/>
      <c r="L16" s="561"/>
      <c r="M16" s="469"/>
      <c r="N16" s="976"/>
    </row>
    <row r="17" spans="1:14" x14ac:dyDescent="0.25">
      <c r="A17" s="12"/>
      <c r="B17" s="463"/>
      <c r="C17" s="462" t="s">
        <v>103</v>
      </c>
      <c r="D17" s="465"/>
      <c r="E17" s="978"/>
      <c r="F17" s="465"/>
      <c r="G17" s="970"/>
      <c r="H17" s="970"/>
      <c r="I17" s="561"/>
      <c r="J17" s="469"/>
      <c r="K17" s="970"/>
      <c r="L17" s="561"/>
      <c r="M17" s="469"/>
      <c r="N17" s="976"/>
    </row>
    <row r="18" spans="1:14" x14ac:dyDescent="0.25">
      <c r="A18" s="324"/>
      <c r="B18" s="18"/>
      <c r="C18" s="438" t="s">
        <v>115</v>
      </c>
      <c r="D18" s="966">
        <v>0</v>
      </c>
      <c r="E18" s="970">
        <f>+(1+D18)^42-1</f>
        <v>0</v>
      </c>
      <c r="F18" s="465">
        <v>5.0000000000000001E-3</v>
      </c>
      <c r="G18" s="970">
        <f t="shared" si="0"/>
        <v>0.12715977620538776</v>
      </c>
      <c r="H18" s="970">
        <f t="shared" si="1"/>
        <v>0.21472063332019076</v>
      </c>
      <c r="I18" s="465">
        <v>7.0000000000000001E-3</v>
      </c>
      <c r="J18" s="442">
        <f t="shared" si="2"/>
        <v>0.18224447551513423</v>
      </c>
      <c r="K18" s="970">
        <f t="shared" si="3"/>
        <v>0.31265123527349603</v>
      </c>
      <c r="L18" s="465">
        <v>8.9999999999999993E-3</v>
      </c>
      <c r="M18" s="442">
        <f t="shared" si="4"/>
        <v>0.23990379622210423</v>
      </c>
      <c r="N18" s="976">
        <f t="shared" si="5"/>
        <v>0.41825878787702897</v>
      </c>
    </row>
    <row r="19" spans="1:14" x14ac:dyDescent="0.25">
      <c r="A19" s="324"/>
      <c r="B19" s="18"/>
      <c r="C19" s="438" t="s">
        <v>112</v>
      </c>
      <c r="D19" s="966"/>
      <c r="E19" s="979"/>
      <c r="F19" s="465"/>
      <c r="G19" s="970"/>
      <c r="H19" s="970"/>
      <c r="I19" s="465"/>
      <c r="J19" s="442"/>
      <c r="K19" s="970"/>
      <c r="L19" s="465"/>
      <c r="M19" s="442"/>
      <c r="N19" s="976"/>
    </row>
    <row r="20" spans="1:14" x14ac:dyDescent="0.25">
      <c r="A20" s="324"/>
      <c r="B20" s="120"/>
      <c r="C20" s="94" t="s">
        <v>38</v>
      </c>
      <c r="D20" s="967"/>
      <c r="E20" s="98"/>
      <c r="F20" s="465">
        <v>7.4999999999999997E-3</v>
      </c>
      <c r="G20" s="970">
        <f t="shared" si="0"/>
        <v>0.1964135293926228</v>
      </c>
      <c r="H20" s="970">
        <f t="shared" si="1"/>
        <v>0.33831127775326819</v>
      </c>
      <c r="I20" s="465">
        <v>8.9999999999999993E-3</v>
      </c>
      <c r="J20" s="442">
        <f t="shared" si="2"/>
        <v>0.23990379622210423</v>
      </c>
      <c r="K20" s="970">
        <f t="shared" si="3"/>
        <v>0.41825878787702897</v>
      </c>
      <c r="L20" s="465">
        <v>1.0999999999999999E-2</v>
      </c>
      <c r="M20" s="442">
        <f t="shared" si="4"/>
        <v>0.30025260992810354</v>
      </c>
      <c r="N20" s="976">
        <f t="shared" si="5"/>
        <v>0.53212806550304403</v>
      </c>
    </row>
    <row r="21" spans="1:14" x14ac:dyDescent="0.25">
      <c r="A21" s="324"/>
      <c r="B21" s="120"/>
      <c r="C21" s="94" t="s">
        <v>39</v>
      </c>
      <c r="D21" s="967"/>
      <c r="E21" s="98"/>
      <c r="F21" s="465">
        <v>5.0000000000000001E-3</v>
      </c>
      <c r="G21" s="970">
        <f t="shared" si="0"/>
        <v>0.12715977620538776</v>
      </c>
      <c r="H21" s="970">
        <f t="shared" si="1"/>
        <v>0.21472063332019076</v>
      </c>
      <c r="I21" s="465">
        <v>6.4999999999999997E-3</v>
      </c>
      <c r="J21" s="442">
        <f t="shared" si="2"/>
        <v>0.16823631256716953</v>
      </c>
      <c r="K21" s="970">
        <f t="shared" si="3"/>
        <v>0.28747080530918789</v>
      </c>
      <c r="L21" s="465">
        <v>9.4999999999999998E-3</v>
      </c>
      <c r="M21" s="442">
        <f t="shared" si="4"/>
        <v>0.25473426671965282</v>
      </c>
      <c r="N21" s="976">
        <f t="shared" si="5"/>
        <v>0.4459278005974161</v>
      </c>
    </row>
    <row r="22" spans="1:14" x14ac:dyDescent="0.25">
      <c r="A22" s="324"/>
      <c r="B22" s="120"/>
      <c r="C22" s="94" t="s">
        <v>40</v>
      </c>
      <c r="D22" s="967"/>
      <c r="E22" s="98"/>
      <c r="F22" s="465">
        <v>5.0000000000000001E-3</v>
      </c>
      <c r="G22" s="970">
        <f t="shared" si="0"/>
        <v>0.12715977620538776</v>
      </c>
      <c r="H22" s="970">
        <f t="shared" si="1"/>
        <v>0.21472063332019076</v>
      </c>
      <c r="I22" s="465">
        <v>6.4999999999999997E-3</v>
      </c>
      <c r="J22" s="442">
        <f t="shared" si="2"/>
        <v>0.16823631256716953</v>
      </c>
      <c r="K22" s="970">
        <f t="shared" si="3"/>
        <v>0.28747080530918789</v>
      </c>
      <c r="L22" s="465">
        <v>9.4999999999999998E-3</v>
      </c>
      <c r="M22" s="442">
        <f t="shared" si="4"/>
        <v>0.25473426671965282</v>
      </c>
      <c r="N22" s="976">
        <f t="shared" si="5"/>
        <v>0.4459278005974161</v>
      </c>
    </row>
    <row r="23" spans="1:14" x14ac:dyDescent="0.25">
      <c r="A23" s="324"/>
      <c r="B23" s="120"/>
      <c r="C23" s="94" t="s">
        <v>41</v>
      </c>
      <c r="D23" s="967"/>
      <c r="E23" s="98"/>
      <c r="F23" s="465">
        <v>5.0000000000000001E-3</v>
      </c>
      <c r="G23" s="970">
        <f t="shared" si="0"/>
        <v>0.12715977620538776</v>
      </c>
      <c r="H23" s="970">
        <f t="shared" si="1"/>
        <v>0.21472063332019076</v>
      </c>
      <c r="I23" s="465">
        <v>6.4999999999999997E-3</v>
      </c>
      <c r="J23" s="442">
        <f t="shared" si="2"/>
        <v>0.16823631256716953</v>
      </c>
      <c r="K23" s="970">
        <f t="shared" si="3"/>
        <v>0.28747080530918789</v>
      </c>
      <c r="L23" s="465">
        <v>9.4999999999999998E-3</v>
      </c>
      <c r="M23" s="442">
        <f t="shared" si="4"/>
        <v>0.25473426671965282</v>
      </c>
      <c r="N23" s="976">
        <f t="shared" si="5"/>
        <v>0.4459278005974161</v>
      </c>
    </row>
    <row r="24" spans="1:14" x14ac:dyDescent="0.25">
      <c r="A24" s="324"/>
      <c r="B24" s="120"/>
      <c r="C24" s="94" t="s">
        <v>42</v>
      </c>
      <c r="D24" s="967"/>
      <c r="E24" s="98"/>
      <c r="F24" s="465">
        <v>5.0000000000000001E-3</v>
      </c>
      <c r="G24" s="970">
        <f t="shared" si="0"/>
        <v>0.12715977620538776</v>
      </c>
      <c r="H24" s="970">
        <f t="shared" si="1"/>
        <v>0.21472063332019076</v>
      </c>
      <c r="I24" s="465">
        <v>6.4999999999999997E-3</v>
      </c>
      <c r="J24" s="442">
        <f t="shared" si="2"/>
        <v>0.16823631256716953</v>
      </c>
      <c r="K24" s="970">
        <f t="shared" si="3"/>
        <v>0.28747080530918789</v>
      </c>
      <c r="L24" s="465">
        <v>9.4999999999999998E-3</v>
      </c>
      <c r="M24" s="442">
        <f t="shared" si="4"/>
        <v>0.25473426671965282</v>
      </c>
      <c r="N24" s="976">
        <f t="shared" si="5"/>
        <v>0.4459278005974161</v>
      </c>
    </row>
    <row r="25" spans="1:14" x14ac:dyDescent="0.25">
      <c r="A25" s="467"/>
      <c r="B25" s="121"/>
      <c r="C25" s="95" t="s">
        <v>37</v>
      </c>
      <c r="D25" s="968"/>
      <c r="E25" s="117"/>
      <c r="F25" s="468">
        <v>5.0000000000000001E-3</v>
      </c>
      <c r="G25" s="970">
        <f t="shared" si="0"/>
        <v>0.12715977620538776</v>
      </c>
      <c r="H25" s="970">
        <f t="shared" si="1"/>
        <v>0.21472063332019076</v>
      </c>
      <c r="I25" s="468">
        <v>6.4999999999999997E-3</v>
      </c>
      <c r="J25" s="442">
        <f t="shared" si="2"/>
        <v>0.16823631256716953</v>
      </c>
      <c r="K25" s="970">
        <f t="shared" si="3"/>
        <v>0.28747080530918789</v>
      </c>
      <c r="L25" s="468">
        <v>9.4999999999999998E-3</v>
      </c>
      <c r="M25" s="442">
        <f t="shared" si="4"/>
        <v>0.25473426671965282</v>
      </c>
      <c r="N25" s="976">
        <f t="shared" si="5"/>
        <v>0.4459278005974161</v>
      </c>
    </row>
    <row r="26" spans="1:14" x14ac:dyDescent="0.25">
      <c r="A26" s="324"/>
      <c r="B26" s="120"/>
      <c r="C26" s="324"/>
      <c r="D26" s="464"/>
      <c r="E26" s="120"/>
      <c r="F26" s="465"/>
      <c r="G26" s="970"/>
      <c r="H26" s="970"/>
      <c r="I26" s="561"/>
      <c r="J26" s="469"/>
      <c r="K26" s="970"/>
      <c r="L26" s="561"/>
      <c r="M26" s="469"/>
      <c r="N26" s="976"/>
    </row>
    <row r="27" spans="1:14" x14ac:dyDescent="0.25">
      <c r="A27" s="12"/>
      <c r="B27" s="463"/>
      <c r="C27" s="462" t="s">
        <v>89</v>
      </c>
      <c r="D27" s="967"/>
      <c r="E27" s="98"/>
      <c r="F27" s="465"/>
      <c r="G27" s="970"/>
      <c r="H27" s="970"/>
      <c r="I27" s="561"/>
      <c r="J27" s="469"/>
      <c r="K27" s="970"/>
      <c r="L27" s="561"/>
      <c r="M27" s="469"/>
      <c r="N27" s="976"/>
    </row>
    <row r="28" spans="1:14" x14ac:dyDescent="0.25">
      <c r="A28" s="324"/>
      <c r="B28" s="18"/>
      <c r="C28" s="438" t="s">
        <v>47</v>
      </c>
      <c r="D28" s="967"/>
      <c r="E28" s="98"/>
      <c r="F28" s="465"/>
      <c r="G28" s="970"/>
      <c r="H28" s="970"/>
      <c r="I28" s="561"/>
      <c r="J28" s="469"/>
      <c r="K28" s="970"/>
      <c r="L28" s="561"/>
      <c r="M28" s="469"/>
      <c r="N28" s="976"/>
    </row>
    <row r="29" spans="1:14" x14ac:dyDescent="0.25">
      <c r="A29" s="324"/>
      <c r="B29" s="439"/>
      <c r="C29" s="450" t="s">
        <v>35</v>
      </c>
      <c r="D29" s="875"/>
      <c r="E29" s="439"/>
      <c r="F29" s="465">
        <f>0.5*F48+0.5*F53%</f>
        <v>2.5000000000000001E-4</v>
      </c>
      <c r="G29" s="970">
        <f t="shared" si="0"/>
        <v>6.0172816665517992E-3</v>
      </c>
      <c r="H29" s="970">
        <f t="shared" si="1"/>
        <v>9.7964556187346563E-3</v>
      </c>
      <c r="I29" s="465">
        <f>0.5*J48+0.5*J53</f>
        <v>2.5000000000000001E-4</v>
      </c>
      <c r="J29" s="442">
        <f t="shared" si="2"/>
        <v>6.0172816665517992E-3</v>
      </c>
      <c r="K29" s="970">
        <f t="shared" si="3"/>
        <v>9.7964556187346563E-3</v>
      </c>
      <c r="L29" s="465">
        <f>0.5*N48+0.5*N53</f>
        <v>2.5000000000000001E-4</v>
      </c>
      <c r="M29" s="442">
        <f t="shared" si="4"/>
        <v>6.0172816665517992E-3</v>
      </c>
      <c r="N29" s="976">
        <f t="shared" si="5"/>
        <v>9.7964556187346563E-3</v>
      </c>
    </row>
    <row r="30" spans="1:14" x14ac:dyDescent="0.25">
      <c r="A30" s="324"/>
      <c r="B30" s="439"/>
      <c r="C30" s="450" t="s">
        <v>7</v>
      </c>
      <c r="D30" s="875"/>
      <c r="E30" s="439"/>
      <c r="F30" s="465">
        <v>2E-3</v>
      </c>
      <c r="G30" s="970">
        <f t="shared" si="0"/>
        <v>4.9120363384786092E-2</v>
      </c>
      <c r="H30" s="970">
        <f t="shared" si="1"/>
        <v>8.1038446651015672E-2</v>
      </c>
      <c r="I30" s="465">
        <v>5.0000000000000001E-3</v>
      </c>
      <c r="J30" s="442">
        <f t="shared" si="2"/>
        <v>0.12715977620538776</v>
      </c>
      <c r="K30" s="970">
        <f t="shared" si="3"/>
        <v>0.21472063332019076</v>
      </c>
      <c r="L30" s="465">
        <v>8.5000000000000006E-3</v>
      </c>
      <c r="M30" s="442">
        <f t="shared" si="4"/>
        <v>0.22524139520187858</v>
      </c>
      <c r="N30" s="976">
        <f t="shared" si="5"/>
        <v>0.39110592191091831</v>
      </c>
    </row>
    <row r="31" spans="1:14" x14ac:dyDescent="0.25">
      <c r="A31" s="324"/>
      <c r="B31" s="120"/>
      <c r="C31" s="324" t="s">
        <v>8</v>
      </c>
      <c r="D31" s="464"/>
      <c r="E31" s="120"/>
      <c r="F31" s="465">
        <v>4.4999999999999997E-3</v>
      </c>
      <c r="G31" s="970">
        <f t="shared" si="0"/>
        <v>0.11377787388666727</v>
      </c>
      <c r="H31" s="970">
        <f t="shared" si="1"/>
        <v>0.19137285953658245</v>
      </c>
      <c r="I31" s="465">
        <v>6.4999999999999997E-3</v>
      </c>
      <c r="J31" s="442">
        <f t="shared" si="2"/>
        <v>0.16823631256716953</v>
      </c>
      <c r="K31" s="970">
        <f t="shared" si="3"/>
        <v>0.28747080530918789</v>
      </c>
      <c r="L31" s="465">
        <f>+L18</f>
        <v>8.9999999999999993E-3</v>
      </c>
      <c r="M31" s="442">
        <f t="shared" si="4"/>
        <v>0.23990379622210423</v>
      </c>
      <c r="N31" s="976">
        <f t="shared" si="5"/>
        <v>0.41825878787702897</v>
      </c>
    </row>
    <row r="32" spans="1:14" x14ac:dyDescent="0.25">
      <c r="A32" s="324"/>
      <c r="B32" s="120"/>
      <c r="C32" s="324" t="s">
        <v>207</v>
      </c>
      <c r="D32" s="464"/>
      <c r="E32" s="120"/>
      <c r="F32" s="465">
        <v>4.0000000000000001E-3</v>
      </c>
      <c r="G32" s="970">
        <f t="shared" si="0"/>
        <v>0.10054830033712081</v>
      </c>
      <c r="H32" s="970">
        <f t="shared" si="1"/>
        <v>0.168462555450962</v>
      </c>
      <c r="I32" s="465">
        <v>6.4999999999999997E-3</v>
      </c>
      <c r="J32" s="442">
        <f t="shared" si="2"/>
        <v>0.16823631256716953</v>
      </c>
      <c r="K32" s="970">
        <f t="shared" si="3"/>
        <v>0.28747080530918789</v>
      </c>
      <c r="L32" s="465">
        <v>8.5000000000000006E-3</v>
      </c>
      <c r="M32" s="442">
        <f t="shared" si="4"/>
        <v>0.22524139520187858</v>
      </c>
      <c r="N32" s="976">
        <f t="shared" si="5"/>
        <v>0.39110592191091831</v>
      </c>
    </row>
    <row r="33" spans="1:17" x14ac:dyDescent="0.25">
      <c r="A33" s="324"/>
      <c r="B33" s="18"/>
      <c r="C33" s="438" t="s">
        <v>48</v>
      </c>
      <c r="D33" s="967"/>
      <c r="E33" s="98"/>
      <c r="F33" s="465"/>
      <c r="G33" s="970"/>
      <c r="H33" s="970"/>
      <c r="I33" s="465"/>
      <c r="J33" s="442"/>
      <c r="K33" s="970"/>
      <c r="L33" s="465"/>
      <c r="M33" s="442"/>
      <c r="N33" s="976"/>
    </row>
    <row r="34" spans="1:17" x14ac:dyDescent="0.25">
      <c r="A34" s="324"/>
      <c r="B34" s="120"/>
      <c r="C34" s="450" t="s">
        <v>35</v>
      </c>
      <c r="D34" s="464"/>
      <c r="E34" s="120"/>
      <c r="F34" s="465">
        <f>+F48</f>
        <v>5.0000000000000001E-4</v>
      </c>
      <c r="G34" s="970">
        <f t="shared" si="0"/>
        <v>1.2069253665454749E-2</v>
      </c>
      <c r="H34" s="970">
        <f t="shared" si="1"/>
        <v>1.9686397533730027E-2</v>
      </c>
      <c r="I34" s="465">
        <f>+J48</f>
        <v>5.0000000000000001E-4</v>
      </c>
      <c r="J34" s="442">
        <f t="shared" si="2"/>
        <v>1.2069253665454749E-2</v>
      </c>
      <c r="K34" s="970">
        <f t="shared" si="3"/>
        <v>1.9686397533730027E-2</v>
      </c>
      <c r="L34" s="465">
        <f>+N48</f>
        <v>5.0000000000000001E-4</v>
      </c>
      <c r="M34" s="442">
        <f t="shared" si="4"/>
        <v>1.2069253665454749E-2</v>
      </c>
      <c r="N34" s="976">
        <f t="shared" si="5"/>
        <v>1.9686397533730027E-2</v>
      </c>
    </row>
    <row r="35" spans="1:17" x14ac:dyDescent="0.25">
      <c r="A35" s="324"/>
      <c r="B35" s="120"/>
      <c r="C35" s="450" t="s">
        <v>7</v>
      </c>
      <c r="D35" s="464"/>
      <c r="E35" s="120"/>
      <c r="F35" s="465">
        <v>5.0000000000000001E-3</v>
      </c>
      <c r="G35" s="970">
        <f t="shared" si="0"/>
        <v>0.12715977620538776</v>
      </c>
      <c r="H35" s="970">
        <f t="shared" si="1"/>
        <v>0.21472063332019076</v>
      </c>
      <c r="I35" s="465">
        <v>6.4999999999999997E-3</v>
      </c>
      <c r="J35" s="442">
        <f t="shared" si="2"/>
        <v>0.16823631256716953</v>
      </c>
      <c r="K35" s="970">
        <f t="shared" si="3"/>
        <v>0.28747080530918789</v>
      </c>
      <c r="L35" s="465">
        <v>8.5000000000000006E-3</v>
      </c>
      <c r="M35" s="442">
        <f t="shared" si="4"/>
        <v>0.22524139520187858</v>
      </c>
      <c r="N35" s="976">
        <f t="shared" si="5"/>
        <v>0.39110592191091831</v>
      </c>
    </row>
    <row r="36" spans="1:17" x14ac:dyDescent="0.25">
      <c r="A36" s="324"/>
      <c r="B36" s="120"/>
      <c r="C36" s="324" t="s">
        <v>8</v>
      </c>
      <c r="D36" s="464"/>
      <c r="E36" s="120"/>
      <c r="F36" s="465">
        <f>+F18</f>
        <v>5.0000000000000001E-3</v>
      </c>
      <c r="G36" s="970">
        <f t="shared" si="0"/>
        <v>0.12715977620538776</v>
      </c>
      <c r="H36" s="970">
        <f t="shared" si="1"/>
        <v>0.21472063332019076</v>
      </c>
      <c r="I36" s="465">
        <v>6.4999999999999997E-3</v>
      </c>
      <c r="J36" s="442">
        <f t="shared" si="2"/>
        <v>0.16823631256716953</v>
      </c>
      <c r="K36" s="970">
        <f t="shared" si="3"/>
        <v>0.28747080530918789</v>
      </c>
      <c r="L36" s="465">
        <f>+L18</f>
        <v>8.9999999999999993E-3</v>
      </c>
      <c r="M36" s="442">
        <f t="shared" si="4"/>
        <v>0.23990379622210423</v>
      </c>
      <c r="N36" s="976">
        <f t="shared" si="5"/>
        <v>0.41825878787702897</v>
      </c>
    </row>
    <row r="37" spans="1:17" x14ac:dyDescent="0.25">
      <c r="A37" s="324"/>
      <c r="B37" s="120"/>
      <c r="C37" s="324" t="s">
        <v>207</v>
      </c>
      <c r="D37" s="464"/>
      <c r="E37" s="120"/>
      <c r="F37" s="465">
        <v>5.4999999999999997E-3</v>
      </c>
      <c r="G37" s="970">
        <f t="shared" si="0"/>
        <v>0.14069568414913514</v>
      </c>
      <c r="H37" s="970">
        <f t="shared" si="1"/>
        <v>0.23851400633136133</v>
      </c>
      <c r="I37" s="465">
        <v>6.4999999999999997E-3</v>
      </c>
      <c r="J37" s="442">
        <f t="shared" si="2"/>
        <v>0.16823631256716953</v>
      </c>
      <c r="K37" s="970">
        <f t="shared" si="3"/>
        <v>0.28747080530918789</v>
      </c>
      <c r="L37" s="465">
        <v>8.5000000000000006E-3</v>
      </c>
      <c r="M37" s="442">
        <f t="shared" si="4"/>
        <v>0.22524139520187858</v>
      </c>
      <c r="N37" s="976">
        <f t="shared" si="5"/>
        <v>0.39110592191091831</v>
      </c>
    </row>
    <row r="38" spans="1:17" x14ac:dyDescent="0.25">
      <c r="A38" s="324"/>
      <c r="B38" s="18"/>
      <c r="C38" s="438" t="s">
        <v>49</v>
      </c>
      <c r="D38" s="967"/>
      <c r="E38" s="98"/>
      <c r="F38" s="465"/>
      <c r="G38" s="970"/>
      <c r="H38" s="970"/>
      <c r="I38" s="465"/>
      <c r="J38" s="442"/>
      <c r="K38" s="970"/>
      <c r="L38" s="465"/>
      <c r="M38" s="442"/>
      <c r="N38" s="976"/>
    </row>
    <row r="39" spans="1:17" x14ac:dyDescent="0.25">
      <c r="A39" s="324"/>
      <c r="B39" s="439"/>
      <c r="C39" s="450" t="s">
        <v>35</v>
      </c>
      <c r="D39" s="875"/>
      <c r="E39" s="439"/>
      <c r="F39" s="465">
        <f>+F48</f>
        <v>5.0000000000000001E-4</v>
      </c>
      <c r="G39" s="970">
        <f t="shared" si="0"/>
        <v>1.2069253665454749E-2</v>
      </c>
      <c r="H39" s="970">
        <f t="shared" si="1"/>
        <v>1.9686397533730027E-2</v>
      </c>
      <c r="I39" s="465">
        <f>+J48</f>
        <v>5.0000000000000001E-4</v>
      </c>
      <c r="J39" s="442">
        <f t="shared" si="2"/>
        <v>1.2069253665454749E-2</v>
      </c>
      <c r="K39" s="970">
        <f t="shared" si="3"/>
        <v>1.9686397533730027E-2</v>
      </c>
      <c r="L39" s="465">
        <f>+N48</f>
        <v>5.0000000000000001E-4</v>
      </c>
      <c r="M39" s="442">
        <f t="shared" si="4"/>
        <v>1.2069253665454749E-2</v>
      </c>
      <c r="N39" s="976">
        <f t="shared" si="5"/>
        <v>1.9686397533730027E-2</v>
      </c>
    </row>
    <row r="40" spans="1:17" x14ac:dyDescent="0.25">
      <c r="A40" s="324"/>
      <c r="B40" s="439"/>
      <c r="C40" s="450" t="s">
        <v>7</v>
      </c>
      <c r="D40" s="875"/>
      <c r="E40" s="439"/>
      <c r="F40" s="465">
        <f>+F35</f>
        <v>5.0000000000000001E-3</v>
      </c>
      <c r="G40" s="970">
        <f t="shared" si="0"/>
        <v>0.12715977620538776</v>
      </c>
      <c r="H40" s="970">
        <f t="shared" si="1"/>
        <v>0.21472063332019076</v>
      </c>
      <c r="I40" s="465">
        <f>+I35</f>
        <v>6.4999999999999997E-3</v>
      </c>
      <c r="J40" s="442">
        <f t="shared" si="2"/>
        <v>0.16823631256716953</v>
      </c>
      <c r="K40" s="970">
        <f t="shared" si="3"/>
        <v>0.28747080530918789</v>
      </c>
      <c r="L40" s="465">
        <f>+L35</f>
        <v>8.5000000000000006E-3</v>
      </c>
      <c r="M40" s="442">
        <f t="shared" si="4"/>
        <v>0.22524139520187858</v>
      </c>
      <c r="N40" s="976">
        <f t="shared" si="5"/>
        <v>0.39110592191091831</v>
      </c>
    </row>
    <row r="41" spans="1:17" ht="15.75" thickBot="1" x14ac:dyDescent="0.3">
      <c r="A41" s="324"/>
      <c r="B41" s="120"/>
      <c r="C41" s="435" t="s">
        <v>116</v>
      </c>
      <c r="D41" s="969"/>
      <c r="E41" s="145"/>
      <c r="F41" s="471">
        <v>5.4999999999999997E-3</v>
      </c>
      <c r="G41" s="971">
        <f t="shared" si="0"/>
        <v>0.14069568414913514</v>
      </c>
      <c r="H41" s="971">
        <f t="shared" si="1"/>
        <v>0.23851400633136133</v>
      </c>
      <c r="I41" s="471">
        <v>6.4999999999999997E-3</v>
      </c>
      <c r="J41" s="443">
        <f t="shared" si="2"/>
        <v>0.16823631256716953</v>
      </c>
      <c r="K41" s="971">
        <f t="shared" si="3"/>
        <v>0.28747080530918789</v>
      </c>
      <c r="L41" s="471">
        <v>8.5000000000000006E-3</v>
      </c>
      <c r="M41" s="443">
        <f t="shared" si="4"/>
        <v>0.22524139520187858</v>
      </c>
      <c r="N41" s="977">
        <f t="shared" si="5"/>
        <v>0.39110592191091831</v>
      </c>
    </row>
    <row r="42" spans="1:17" ht="15.75" thickBot="1" x14ac:dyDescent="0.3">
      <c r="A42" s="324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441"/>
    </row>
    <row r="43" spans="1:17" x14ac:dyDescent="0.25">
      <c r="A43" s="12"/>
      <c r="B43" s="18"/>
      <c r="C43" s="436" t="s">
        <v>35</v>
      </c>
      <c r="D43" s="818"/>
      <c r="E43" s="818"/>
      <c r="F43" s="1051" t="s">
        <v>54</v>
      </c>
      <c r="G43" s="1041"/>
      <c r="H43" s="1041"/>
      <c r="I43" s="1052"/>
      <c r="J43" s="1051" t="s">
        <v>55</v>
      </c>
      <c r="K43" s="1041"/>
      <c r="L43" s="1041"/>
      <c r="M43" s="1052"/>
      <c r="N43" s="1051" t="s">
        <v>56</v>
      </c>
      <c r="O43" s="1041"/>
      <c r="P43" s="1041"/>
      <c r="Q43" s="1053"/>
    </row>
    <row r="44" spans="1:17" x14ac:dyDescent="0.25">
      <c r="A44" s="324"/>
      <c r="B44" s="18"/>
      <c r="C44" s="462" t="s">
        <v>146</v>
      </c>
      <c r="D44" s="463"/>
      <c r="E44" s="463"/>
      <c r="F44" s="1049" t="s">
        <v>109</v>
      </c>
      <c r="G44" s="1050"/>
      <c r="H44" s="1049">
        <f>+'Øvr forudsæt'!$C$63</f>
        <v>2035</v>
      </c>
      <c r="I44" s="1050">
        <f>+'Øvr forudsæt'!$D$63</f>
        <v>2050</v>
      </c>
      <c r="J44" s="1049" t="s">
        <v>109</v>
      </c>
      <c r="K44" s="1050"/>
      <c r="L44" s="1049">
        <f>+'Øvr forudsæt'!$C$63</f>
        <v>2035</v>
      </c>
      <c r="M44" s="1050">
        <f>+'Øvr forudsæt'!$D$63</f>
        <v>2050</v>
      </c>
      <c r="N44" s="1049" t="s">
        <v>109</v>
      </c>
      <c r="O44" s="1050"/>
      <c r="P44" s="1049">
        <f>+'Øvr forudsæt'!$C$63</f>
        <v>2035</v>
      </c>
      <c r="Q44" s="1056">
        <f>+'Øvr forudsæt'!$D$63</f>
        <v>2050</v>
      </c>
    </row>
    <row r="45" spans="1:17" x14ac:dyDescent="0.25">
      <c r="A45" s="324"/>
      <c r="B45" s="18"/>
      <c r="C45" s="692"/>
      <c r="D45" s="461"/>
      <c r="E45" s="461"/>
      <c r="F45" s="460" t="s">
        <v>250</v>
      </c>
      <c r="G45" s="461" t="s">
        <v>342</v>
      </c>
      <c r="H45" s="1054"/>
      <c r="I45" s="1055"/>
      <c r="J45" s="460" t="s">
        <v>250</v>
      </c>
      <c r="K45" s="461" t="s">
        <v>342</v>
      </c>
      <c r="L45" s="1054"/>
      <c r="M45" s="1055"/>
      <c r="N45" s="460" t="s">
        <v>250</v>
      </c>
      <c r="O45" s="461" t="s">
        <v>342</v>
      </c>
      <c r="P45" s="1054"/>
      <c r="Q45" s="1057"/>
    </row>
    <row r="46" spans="1:17" x14ac:dyDescent="0.25">
      <c r="A46" s="324"/>
      <c r="B46" s="18"/>
      <c r="C46" s="444" t="s">
        <v>2</v>
      </c>
      <c r="D46" s="120"/>
      <c r="E46" s="120"/>
      <c r="F46" s="959">
        <f>+[3]Ark1!$G25</f>
        <v>2.5000000000000001E-3</v>
      </c>
      <c r="G46" s="445">
        <f>+[3]Ark1!$S25</f>
        <v>1.6666666666666668E-3</v>
      </c>
      <c r="H46" s="816">
        <f t="shared" ref="H46:H56" si="6">+(1+$F46)^$G$2-1</f>
        <v>6.17570442619777E-2</v>
      </c>
      <c r="I46" s="970">
        <f t="shared" ref="I46:I56" si="7">+(1+$F46)^$H$2-1</f>
        <v>0.10227731683697638</v>
      </c>
      <c r="J46" s="959">
        <f>+F46</f>
        <v>2.5000000000000001E-3</v>
      </c>
      <c r="K46" s="465">
        <f>+G46</f>
        <v>1.6666666666666668E-3</v>
      </c>
      <c r="L46" s="816">
        <f t="shared" ref="L46:L56" si="8">+(1+$J46)^G$2-1</f>
        <v>6.17570442619777E-2</v>
      </c>
      <c r="M46" s="970">
        <f t="shared" ref="M46:M56" si="9">+(1+$J46)^H$2-1</f>
        <v>0.10227731683697638</v>
      </c>
      <c r="N46" s="959">
        <f>+F46</f>
        <v>2.5000000000000001E-3</v>
      </c>
      <c r="O46" s="465">
        <f>+G46</f>
        <v>1.6666666666666668E-3</v>
      </c>
      <c r="P46" s="816">
        <f t="shared" ref="P46:P56" si="10">+(1+$N46)^G$2-1</f>
        <v>6.17570442619777E-2</v>
      </c>
      <c r="Q46" s="976">
        <f t="shared" ref="Q46:Q56" si="11">+(1+$N46)^H$2-1</f>
        <v>0.10227731683697638</v>
      </c>
    </row>
    <row r="47" spans="1:17" x14ac:dyDescent="0.25">
      <c r="A47" s="324"/>
      <c r="B47" s="18"/>
      <c r="C47" s="444" t="s">
        <v>139</v>
      </c>
      <c r="D47" s="120"/>
      <c r="E47" s="120"/>
      <c r="F47" s="959">
        <f>+[3]Ark1!$G26</f>
        <v>5.0000000000000001E-4</v>
      </c>
      <c r="G47" s="445">
        <f>+[3]Ark1!$S26</f>
        <v>2.5000000000000001E-4</v>
      </c>
      <c r="H47" s="816">
        <f t="shared" si="6"/>
        <v>1.2069253665454749E-2</v>
      </c>
      <c r="I47" s="970">
        <f t="shared" si="7"/>
        <v>1.9686397533730027E-2</v>
      </c>
      <c r="J47" s="959">
        <f t="shared" ref="J47:J56" si="12">+F47</f>
        <v>5.0000000000000001E-4</v>
      </c>
      <c r="K47" s="465">
        <f t="shared" ref="K47:K56" si="13">+G47</f>
        <v>2.5000000000000001E-4</v>
      </c>
      <c r="L47" s="816">
        <f t="shared" si="8"/>
        <v>1.2069253665454749E-2</v>
      </c>
      <c r="M47" s="970">
        <f t="shared" si="9"/>
        <v>1.9686397533730027E-2</v>
      </c>
      <c r="N47" s="959">
        <f t="shared" ref="N47:N56" si="14">+F47</f>
        <v>5.0000000000000001E-4</v>
      </c>
      <c r="O47" s="465">
        <f t="shared" ref="O47:O56" si="15">+G47</f>
        <v>2.5000000000000001E-4</v>
      </c>
      <c r="P47" s="816">
        <f t="shared" si="10"/>
        <v>1.2069253665454749E-2</v>
      </c>
      <c r="Q47" s="976">
        <f t="shared" si="11"/>
        <v>1.9686397533730027E-2</v>
      </c>
    </row>
    <row r="48" spans="1:17" x14ac:dyDescent="0.25">
      <c r="A48" s="324"/>
      <c r="B48" s="18"/>
      <c r="C48" s="444" t="s">
        <v>3</v>
      </c>
      <c r="D48" s="120"/>
      <c r="E48" s="120"/>
      <c r="F48" s="959">
        <f>+[3]Ark1!$G27</f>
        <v>5.0000000000000001E-4</v>
      </c>
      <c r="G48" s="445">
        <f>+[3]Ark1!$S27</f>
        <v>2.5000000000000001E-4</v>
      </c>
      <c r="H48" s="816">
        <f t="shared" si="6"/>
        <v>1.2069253665454749E-2</v>
      </c>
      <c r="I48" s="970">
        <f t="shared" si="7"/>
        <v>1.9686397533730027E-2</v>
      </c>
      <c r="J48" s="959">
        <f t="shared" si="12"/>
        <v>5.0000000000000001E-4</v>
      </c>
      <c r="K48" s="465">
        <f t="shared" si="13"/>
        <v>2.5000000000000001E-4</v>
      </c>
      <c r="L48" s="816">
        <f t="shared" si="8"/>
        <v>1.2069253665454749E-2</v>
      </c>
      <c r="M48" s="970">
        <f t="shared" si="9"/>
        <v>1.9686397533730027E-2</v>
      </c>
      <c r="N48" s="959">
        <f t="shared" si="14"/>
        <v>5.0000000000000001E-4</v>
      </c>
      <c r="O48" s="465">
        <f t="shared" si="15"/>
        <v>2.5000000000000001E-4</v>
      </c>
      <c r="P48" s="816">
        <f t="shared" si="10"/>
        <v>1.2069253665454749E-2</v>
      </c>
      <c r="Q48" s="976">
        <f t="shared" si="11"/>
        <v>1.9686397533730027E-2</v>
      </c>
    </row>
    <row r="49" spans="1:17" x14ac:dyDescent="0.25">
      <c r="A49" s="324"/>
      <c r="B49" s="18"/>
      <c r="C49" s="444" t="s">
        <v>140</v>
      </c>
      <c r="D49" s="120"/>
      <c r="E49" s="120"/>
      <c r="F49" s="959">
        <f>+[3]Ark1!$G28</f>
        <v>5.0000000000000001E-4</v>
      </c>
      <c r="G49" s="445">
        <f>+[3]Ark1!$S28</f>
        <v>2.5000000000000001E-4</v>
      </c>
      <c r="H49" s="816">
        <f t="shared" si="6"/>
        <v>1.2069253665454749E-2</v>
      </c>
      <c r="I49" s="970">
        <f t="shared" si="7"/>
        <v>1.9686397533730027E-2</v>
      </c>
      <c r="J49" s="959">
        <f t="shared" si="12"/>
        <v>5.0000000000000001E-4</v>
      </c>
      <c r="K49" s="465">
        <f t="shared" si="13"/>
        <v>2.5000000000000001E-4</v>
      </c>
      <c r="L49" s="816">
        <f t="shared" si="8"/>
        <v>1.2069253665454749E-2</v>
      </c>
      <c r="M49" s="970">
        <f t="shared" si="9"/>
        <v>1.9686397533730027E-2</v>
      </c>
      <c r="N49" s="959">
        <f t="shared" si="14"/>
        <v>5.0000000000000001E-4</v>
      </c>
      <c r="O49" s="465">
        <f t="shared" si="15"/>
        <v>2.5000000000000001E-4</v>
      </c>
      <c r="P49" s="816">
        <f t="shared" si="10"/>
        <v>1.2069253665454749E-2</v>
      </c>
      <c r="Q49" s="976">
        <f t="shared" si="11"/>
        <v>1.9686397533730027E-2</v>
      </c>
    </row>
    <row r="50" spans="1:17" x14ac:dyDescent="0.25">
      <c r="A50" s="324"/>
      <c r="B50" s="18"/>
      <c r="C50" s="444" t="s">
        <v>143</v>
      </c>
      <c r="D50" s="120"/>
      <c r="E50" s="120"/>
      <c r="F50" s="959">
        <f>+[3]Ark1!$G29</f>
        <v>5.0000000000000001E-4</v>
      </c>
      <c r="G50" s="445">
        <f>+[3]Ark1!$S29</f>
        <v>2.5000000000000001E-4</v>
      </c>
      <c r="H50" s="816">
        <f t="shared" si="6"/>
        <v>1.2069253665454749E-2</v>
      </c>
      <c r="I50" s="970">
        <f t="shared" si="7"/>
        <v>1.9686397533730027E-2</v>
      </c>
      <c r="J50" s="959">
        <f t="shared" si="12"/>
        <v>5.0000000000000001E-4</v>
      </c>
      <c r="K50" s="465">
        <f t="shared" si="13"/>
        <v>2.5000000000000001E-4</v>
      </c>
      <c r="L50" s="816">
        <f t="shared" si="8"/>
        <v>1.2069253665454749E-2</v>
      </c>
      <c r="M50" s="970">
        <f t="shared" si="9"/>
        <v>1.9686397533730027E-2</v>
      </c>
      <c r="N50" s="959">
        <f t="shared" si="14"/>
        <v>5.0000000000000001E-4</v>
      </c>
      <c r="O50" s="465">
        <f t="shared" si="15"/>
        <v>2.5000000000000001E-4</v>
      </c>
      <c r="P50" s="816">
        <f t="shared" si="10"/>
        <v>1.2069253665454749E-2</v>
      </c>
      <c r="Q50" s="976">
        <f t="shared" si="11"/>
        <v>1.9686397533730027E-2</v>
      </c>
    </row>
    <row r="51" spans="1:17" x14ac:dyDescent="0.25">
      <c r="A51" s="324"/>
      <c r="B51" s="18"/>
      <c r="C51" s="444" t="s">
        <v>144</v>
      </c>
      <c r="D51" s="120"/>
      <c r="E51" s="120"/>
      <c r="F51" s="959">
        <f>+[3]Ark1!$G30</f>
        <v>5.0000000000000001E-4</v>
      </c>
      <c r="G51" s="445">
        <f>+[3]Ark1!$S30</f>
        <v>2.5000000000000001E-4</v>
      </c>
      <c r="H51" s="816">
        <f t="shared" si="6"/>
        <v>1.2069253665454749E-2</v>
      </c>
      <c r="I51" s="970">
        <f t="shared" si="7"/>
        <v>1.9686397533730027E-2</v>
      </c>
      <c r="J51" s="959">
        <f t="shared" si="12"/>
        <v>5.0000000000000001E-4</v>
      </c>
      <c r="K51" s="465">
        <f t="shared" si="13"/>
        <v>2.5000000000000001E-4</v>
      </c>
      <c r="L51" s="816">
        <f t="shared" si="8"/>
        <v>1.2069253665454749E-2</v>
      </c>
      <c r="M51" s="970">
        <f t="shared" si="9"/>
        <v>1.9686397533730027E-2</v>
      </c>
      <c r="N51" s="959">
        <f t="shared" si="14"/>
        <v>5.0000000000000001E-4</v>
      </c>
      <c r="O51" s="465">
        <f t="shared" si="15"/>
        <v>2.5000000000000001E-4</v>
      </c>
      <c r="P51" s="816">
        <f t="shared" si="10"/>
        <v>1.2069253665454749E-2</v>
      </c>
      <c r="Q51" s="976">
        <f t="shared" si="11"/>
        <v>1.9686397533730027E-2</v>
      </c>
    </row>
    <row r="52" spans="1:17" x14ac:dyDescent="0.25">
      <c r="A52" s="324"/>
      <c r="B52" s="18"/>
      <c r="C52" s="444" t="s">
        <v>145</v>
      </c>
      <c r="D52" s="120"/>
      <c r="E52" s="120"/>
      <c r="F52" s="959">
        <f>+[3]Ark1!$G31</f>
        <v>0</v>
      </c>
      <c r="G52" s="445">
        <f>+[3]Ark1!$S31</f>
        <v>0</v>
      </c>
      <c r="H52" s="816">
        <f t="shared" si="6"/>
        <v>0</v>
      </c>
      <c r="I52" s="970">
        <f t="shared" si="7"/>
        <v>0</v>
      </c>
      <c r="J52" s="959">
        <f t="shared" si="12"/>
        <v>0</v>
      </c>
      <c r="K52" s="465">
        <f t="shared" si="13"/>
        <v>0</v>
      </c>
      <c r="L52" s="816">
        <f t="shared" si="8"/>
        <v>0</v>
      </c>
      <c r="M52" s="970">
        <f t="shared" si="9"/>
        <v>0</v>
      </c>
      <c r="N52" s="959">
        <f t="shared" si="14"/>
        <v>0</v>
      </c>
      <c r="O52" s="465">
        <f t="shared" si="15"/>
        <v>0</v>
      </c>
      <c r="P52" s="816">
        <f t="shared" si="10"/>
        <v>0</v>
      </c>
      <c r="Q52" s="976">
        <f t="shared" si="11"/>
        <v>0</v>
      </c>
    </row>
    <row r="53" spans="1:17" x14ac:dyDescent="0.25">
      <c r="A53" s="324"/>
      <c r="B53" s="18"/>
      <c r="C53" s="446" t="s">
        <v>147</v>
      </c>
      <c r="D53" s="120"/>
      <c r="E53" s="120"/>
      <c r="F53" s="959">
        <f>+[3]Ark1!$G32</f>
        <v>0</v>
      </c>
      <c r="G53" s="445">
        <f>+[3]Ark1!$S32</f>
        <v>0</v>
      </c>
      <c r="H53" s="816">
        <f t="shared" si="6"/>
        <v>0</v>
      </c>
      <c r="I53" s="970">
        <f t="shared" si="7"/>
        <v>0</v>
      </c>
      <c r="J53" s="959">
        <f t="shared" si="12"/>
        <v>0</v>
      </c>
      <c r="K53" s="465">
        <f t="shared" si="13"/>
        <v>0</v>
      </c>
      <c r="L53" s="816">
        <f t="shared" si="8"/>
        <v>0</v>
      </c>
      <c r="M53" s="970">
        <f t="shared" si="9"/>
        <v>0</v>
      </c>
      <c r="N53" s="959">
        <f t="shared" si="14"/>
        <v>0</v>
      </c>
      <c r="O53" s="465">
        <f t="shared" si="15"/>
        <v>0</v>
      </c>
      <c r="P53" s="816">
        <f t="shared" si="10"/>
        <v>0</v>
      </c>
      <c r="Q53" s="976">
        <f t="shared" si="11"/>
        <v>0</v>
      </c>
    </row>
    <row r="54" spans="1:17" x14ac:dyDescent="0.25">
      <c r="A54" s="324"/>
      <c r="B54" s="18"/>
      <c r="C54" s="446" t="s">
        <v>148</v>
      </c>
      <c r="D54" s="120"/>
      <c r="E54" s="120"/>
      <c r="F54" s="959">
        <v>6.0000000000000001E-3</v>
      </c>
      <c r="G54" s="445">
        <v>5.0000000000000001E-3</v>
      </c>
      <c r="H54" s="816">
        <f t="shared" si="6"/>
        <v>0.15438729218495051</v>
      </c>
      <c r="I54" s="970">
        <f t="shared" si="7"/>
        <v>0.26276125501455927</v>
      </c>
      <c r="J54" s="959">
        <f t="shared" si="12"/>
        <v>6.0000000000000001E-3</v>
      </c>
      <c r="K54" s="465">
        <f t="shared" si="13"/>
        <v>5.0000000000000001E-3</v>
      </c>
      <c r="L54" s="816">
        <f t="shared" si="8"/>
        <v>0.15438729218495051</v>
      </c>
      <c r="M54" s="970">
        <f t="shared" si="9"/>
        <v>0.26276125501455927</v>
      </c>
      <c r="N54" s="959">
        <f t="shared" si="14"/>
        <v>6.0000000000000001E-3</v>
      </c>
      <c r="O54" s="465">
        <f t="shared" si="15"/>
        <v>5.0000000000000001E-3</v>
      </c>
      <c r="P54" s="816">
        <f t="shared" si="10"/>
        <v>0.15438729218495051</v>
      </c>
      <c r="Q54" s="976">
        <f t="shared" si="11"/>
        <v>0.26276125501455927</v>
      </c>
    </row>
    <row r="55" spans="1:17" x14ac:dyDescent="0.25">
      <c r="A55" s="324"/>
      <c r="B55" s="18"/>
      <c r="C55" s="446" t="s">
        <v>149</v>
      </c>
      <c r="D55" s="120"/>
      <c r="E55" s="120"/>
      <c r="F55" s="959">
        <f>+[3]Ark1!$G34</f>
        <v>0</v>
      </c>
      <c r="G55" s="445">
        <f>+[3]Ark1!$S34</f>
        <v>0</v>
      </c>
      <c r="H55" s="816">
        <f t="shared" si="6"/>
        <v>0</v>
      </c>
      <c r="I55" s="970">
        <f t="shared" si="7"/>
        <v>0</v>
      </c>
      <c r="J55" s="959">
        <f t="shared" si="12"/>
        <v>0</v>
      </c>
      <c r="K55" s="465">
        <f t="shared" si="13"/>
        <v>0</v>
      </c>
      <c r="L55" s="816">
        <f t="shared" si="8"/>
        <v>0</v>
      </c>
      <c r="M55" s="970">
        <f t="shared" si="9"/>
        <v>0</v>
      </c>
      <c r="N55" s="959">
        <f t="shared" si="14"/>
        <v>0</v>
      </c>
      <c r="O55" s="465">
        <f t="shared" si="15"/>
        <v>0</v>
      </c>
      <c r="P55" s="816">
        <f t="shared" si="10"/>
        <v>0</v>
      </c>
      <c r="Q55" s="976">
        <f t="shared" si="11"/>
        <v>0</v>
      </c>
    </row>
    <row r="56" spans="1:17" ht="15.75" thickBot="1" x14ac:dyDescent="0.3">
      <c r="A56" s="435"/>
      <c r="B56" s="34"/>
      <c r="C56" s="448" t="s">
        <v>150</v>
      </c>
      <c r="D56" s="145"/>
      <c r="E56" s="145"/>
      <c r="F56" s="962">
        <f>+[3]Ark1!$G35</f>
        <v>0</v>
      </c>
      <c r="G56" s="820">
        <f>+[3]Ark1!$S35</f>
        <v>0</v>
      </c>
      <c r="H56" s="817">
        <f t="shared" si="6"/>
        <v>0</v>
      </c>
      <c r="I56" s="971">
        <f t="shared" si="7"/>
        <v>0</v>
      </c>
      <c r="J56" s="962">
        <f t="shared" si="12"/>
        <v>0</v>
      </c>
      <c r="K56" s="819">
        <f t="shared" si="13"/>
        <v>0</v>
      </c>
      <c r="L56" s="817">
        <f t="shared" si="8"/>
        <v>0</v>
      </c>
      <c r="M56" s="971">
        <f t="shared" si="9"/>
        <v>0</v>
      </c>
      <c r="N56" s="962">
        <f t="shared" si="14"/>
        <v>0</v>
      </c>
      <c r="O56" s="819">
        <f t="shared" si="15"/>
        <v>0</v>
      </c>
      <c r="P56" s="817">
        <f t="shared" si="10"/>
        <v>0</v>
      </c>
      <c r="Q56" s="977">
        <f t="shared" si="11"/>
        <v>0</v>
      </c>
    </row>
    <row r="57" spans="1:17" x14ac:dyDescent="0.25">
      <c r="B57" s="18"/>
    </row>
    <row r="58" spans="1:17" x14ac:dyDescent="0.25">
      <c r="B58" s="18"/>
    </row>
    <row r="59" spans="1:17" ht="15.75" thickBot="1" x14ac:dyDescent="0.3">
      <c r="B59" s="18"/>
    </row>
    <row r="60" spans="1:17" x14ac:dyDescent="0.25">
      <c r="B60" s="18"/>
      <c r="C60" s="118"/>
      <c r="D60" s="25"/>
      <c r="E60" s="25"/>
      <c r="F60" s="1058" t="s">
        <v>215</v>
      </c>
      <c r="G60" s="1059"/>
      <c r="H60" s="1058" t="s">
        <v>382</v>
      </c>
      <c r="I60" s="1059"/>
      <c r="J60" s="1058" t="s">
        <v>389</v>
      </c>
      <c r="K60" s="1060"/>
    </row>
    <row r="61" spans="1:17" x14ac:dyDescent="0.25">
      <c r="C61" s="113"/>
      <c r="D61" s="5"/>
      <c r="E61" s="5"/>
      <c r="F61" s="612">
        <v>2035</v>
      </c>
      <c r="G61" s="11">
        <v>2050</v>
      </c>
      <c r="H61" s="612">
        <v>2035</v>
      </c>
      <c r="I61" s="11">
        <v>2050</v>
      </c>
      <c r="J61" s="612">
        <v>2035</v>
      </c>
      <c r="K61" s="36">
        <v>2050</v>
      </c>
    </row>
    <row r="62" spans="1:17" x14ac:dyDescent="0.25">
      <c r="C62" s="27" t="s">
        <v>387</v>
      </c>
      <c r="D62" s="18"/>
      <c r="E62" s="18"/>
      <c r="F62" s="66"/>
      <c r="G62" s="18"/>
      <c r="H62" s="66"/>
      <c r="I62" s="18"/>
      <c r="J62" s="66"/>
      <c r="K62" s="28"/>
    </row>
    <row r="63" spans="1:17" x14ac:dyDescent="0.25">
      <c r="C63" s="12" t="s">
        <v>22</v>
      </c>
      <c r="D63" s="18"/>
      <c r="E63" s="18"/>
      <c r="F63" s="68">
        <f>+G8</f>
        <v>0.15438729218495051</v>
      </c>
      <c r="G63" s="381">
        <f>+H8</f>
        <v>0.26276125501455927</v>
      </c>
      <c r="H63" s="68">
        <f>+J8</f>
        <v>0.1964135293926228</v>
      </c>
      <c r="I63" s="381">
        <f>+K8</f>
        <v>0.33831127775326819</v>
      </c>
      <c r="J63" s="68">
        <f>+M8</f>
        <v>0.25473426671965282</v>
      </c>
      <c r="K63" s="846">
        <f>+N8</f>
        <v>0.4459278005974161</v>
      </c>
    </row>
    <row r="64" spans="1:17" x14ac:dyDescent="0.25">
      <c r="C64" s="12" t="s">
        <v>23</v>
      </c>
      <c r="D64" s="18"/>
      <c r="E64" s="18"/>
      <c r="F64" s="68">
        <f>+G9</f>
        <v>0.15438729218495051</v>
      </c>
      <c r="G64" s="381">
        <f>+H9</f>
        <v>0.26276125501455927</v>
      </c>
      <c r="H64" s="68">
        <f>+J9</f>
        <v>0.1964135293926228</v>
      </c>
      <c r="I64" s="381">
        <f>+K9</f>
        <v>0.33831127775326819</v>
      </c>
      <c r="J64" s="68">
        <f>+M9</f>
        <v>0.25473426671965282</v>
      </c>
      <c r="K64" s="846">
        <f>+N9</f>
        <v>0.4459278005974161</v>
      </c>
    </row>
    <row r="65" spans="3:11" x14ac:dyDescent="0.25">
      <c r="C65" s="12" t="s">
        <v>38</v>
      </c>
      <c r="D65" s="18"/>
      <c r="E65" s="18"/>
      <c r="F65" s="68">
        <f>+G11</f>
        <v>0.1964135293926228</v>
      </c>
      <c r="G65" s="381">
        <f>+H11</f>
        <v>0.33831127775326819</v>
      </c>
      <c r="H65" s="68">
        <f>+J11</f>
        <v>0.23990379622210423</v>
      </c>
      <c r="I65" s="381">
        <f>+K11</f>
        <v>0.41825878787702897</v>
      </c>
      <c r="J65" s="68">
        <f>+M11</f>
        <v>0.30025260992810354</v>
      </c>
      <c r="K65" s="846">
        <f>+N11</f>
        <v>0.53212806550304403</v>
      </c>
    </row>
    <row r="66" spans="3:11" x14ac:dyDescent="0.25">
      <c r="C66" s="113" t="s">
        <v>390</v>
      </c>
      <c r="D66" s="5"/>
      <c r="E66" s="5"/>
      <c r="F66" s="1016">
        <f>+G13</f>
        <v>0.21074524088895652</v>
      </c>
      <c r="G66" s="1015">
        <f>+H13</f>
        <v>0.36445982309592218</v>
      </c>
      <c r="H66" s="1016">
        <f>+J13</f>
        <v>0.30025260992810354</v>
      </c>
      <c r="I66" s="1015">
        <f>+K13</f>
        <v>0.53212806550304403</v>
      </c>
      <c r="J66" s="1016">
        <f>+M13</f>
        <v>0.34735105041435088</v>
      </c>
      <c r="K66" s="1017">
        <f>+N13</f>
        <v>0.62332786517235772</v>
      </c>
    </row>
    <row r="67" spans="3:11" x14ac:dyDescent="0.25">
      <c r="C67" s="27" t="s">
        <v>192</v>
      </c>
      <c r="D67" s="18"/>
      <c r="E67" s="18"/>
      <c r="F67" s="66"/>
      <c r="G67" s="18"/>
      <c r="H67" s="66"/>
      <c r="I67" s="18"/>
      <c r="J67" s="66"/>
      <c r="K67" s="28"/>
    </row>
    <row r="68" spans="3:11" x14ac:dyDescent="0.25">
      <c r="C68" s="12" t="s">
        <v>388</v>
      </c>
      <c r="D68" s="18"/>
      <c r="E68" s="18"/>
      <c r="F68" s="68">
        <f>+G18</f>
        <v>0.12715977620538776</v>
      </c>
      <c r="G68" s="381">
        <f>+H18</f>
        <v>0.21472063332019076</v>
      </c>
      <c r="H68" s="68">
        <f>+J18</f>
        <v>0.18224447551513423</v>
      </c>
      <c r="I68" s="381">
        <f>+K18</f>
        <v>0.31265123527349603</v>
      </c>
      <c r="J68" s="68">
        <f>+M18</f>
        <v>0.23990379622210423</v>
      </c>
      <c r="K68" s="846">
        <f>+N18</f>
        <v>0.41825878787702897</v>
      </c>
    </row>
    <row r="69" spans="3:11" x14ac:dyDescent="0.25">
      <c r="C69" s="12" t="s">
        <v>38</v>
      </c>
      <c r="D69" s="18"/>
      <c r="E69" s="18"/>
      <c r="F69" s="68">
        <f>+G20</f>
        <v>0.1964135293926228</v>
      </c>
      <c r="G69" s="381">
        <f>+H20</f>
        <v>0.33831127775326819</v>
      </c>
      <c r="H69" s="68">
        <f>+J20</f>
        <v>0.23990379622210423</v>
      </c>
      <c r="I69" s="381">
        <f>+K20</f>
        <v>0.41825878787702897</v>
      </c>
      <c r="J69" s="68">
        <f>+M11</f>
        <v>0.30025260992810354</v>
      </c>
      <c r="K69" s="846">
        <f>+N11</f>
        <v>0.53212806550304403</v>
      </c>
    </row>
    <row r="70" spans="3:11" x14ac:dyDescent="0.25">
      <c r="C70" s="12" t="s">
        <v>390</v>
      </c>
      <c r="D70" s="18"/>
      <c r="E70" s="18"/>
      <c r="F70" s="68">
        <f>+G22</f>
        <v>0.12715977620538776</v>
      </c>
      <c r="G70" s="381">
        <f>+H22</f>
        <v>0.21472063332019076</v>
      </c>
      <c r="H70" s="68">
        <f>+J22</f>
        <v>0.16823631256716953</v>
      </c>
      <c r="I70" s="381">
        <f>+K22</f>
        <v>0.28747080530918789</v>
      </c>
      <c r="J70" s="68">
        <f>+M22</f>
        <v>0.25473426671965282</v>
      </c>
      <c r="K70" s="846">
        <f>+N22</f>
        <v>0.4459278005974161</v>
      </c>
    </row>
    <row r="71" spans="3:11" x14ac:dyDescent="0.25">
      <c r="C71" s="27" t="s">
        <v>89</v>
      </c>
      <c r="D71" s="18"/>
      <c r="E71" s="18"/>
      <c r="F71" s="66"/>
      <c r="G71" s="18"/>
      <c r="H71" s="66"/>
      <c r="I71" s="18"/>
      <c r="J71" s="66"/>
      <c r="K71" s="28"/>
    </row>
    <row r="72" spans="3:11" x14ac:dyDescent="0.25">
      <c r="C72" s="12" t="s">
        <v>7</v>
      </c>
      <c r="D72" s="18"/>
      <c r="E72" s="18"/>
      <c r="F72" s="68">
        <f t="shared" ref="F72:G74" si="16">+G35</f>
        <v>0.12715977620538776</v>
      </c>
      <c r="G72" s="381">
        <f t="shared" si="16"/>
        <v>0.21472063332019076</v>
      </c>
      <c r="H72" s="68">
        <f>+J35</f>
        <v>0.16823631256716953</v>
      </c>
      <c r="I72" s="381">
        <f>+K35</f>
        <v>0.28747080530918789</v>
      </c>
      <c r="J72" s="68">
        <f>+M35</f>
        <v>0.22524139520187858</v>
      </c>
      <c r="K72" s="846">
        <f>+N35</f>
        <v>0.39110592191091831</v>
      </c>
    </row>
    <row r="73" spans="3:11" x14ac:dyDescent="0.25">
      <c r="C73" s="12" t="s">
        <v>8</v>
      </c>
      <c r="D73" s="18"/>
      <c r="E73" s="18"/>
      <c r="F73" s="68">
        <f t="shared" si="16"/>
        <v>0.12715977620538776</v>
      </c>
      <c r="G73" s="381">
        <f t="shared" si="16"/>
        <v>0.21472063332019076</v>
      </c>
      <c r="H73" s="68">
        <f t="shared" ref="H73:I74" si="17">+J36</f>
        <v>0.16823631256716953</v>
      </c>
      <c r="I73" s="381">
        <f t="shared" si="17"/>
        <v>0.28747080530918789</v>
      </c>
      <c r="J73" s="68">
        <f t="shared" ref="J73:K74" si="18">+M36</f>
        <v>0.23990379622210423</v>
      </c>
      <c r="K73" s="846">
        <f t="shared" si="18"/>
        <v>0.41825878787702897</v>
      </c>
    </row>
    <row r="74" spans="3:11" ht="15.75" thickBot="1" x14ac:dyDescent="0.3">
      <c r="C74" s="13" t="s">
        <v>10</v>
      </c>
      <c r="D74" s="34"/>
      <c r="E74" s="34"/>
      <c r="F74" s="1018">
        <f t="shared" si="16"/>
        <v>0.14069568414913514</v>
      </c>
      <c r="G74" s="1019">
        <f t="shared" si="16"/>
        <v>0.23851400633136133</v>
      </c>
      <c r="H74" s="1019">
        <f t="shared" si="17"/>
        <v>0.16823631256716953</v>
      </c>
      <c r="I74" s="1019">
        <f t="shared" si="17"/>
        <v>0.28747080530918789</v>
      </c>
      <c r="J74" s="1018">
        <f t="shared" si="18"/>
        <v>0.22524139520187858</v>
      </c>
      <c r="K74" s="1020">
        <f t="shared" si="18"/>
        <v>0.39110592191091831</v>
      </c>
    </row>
  </sheetData>
  <mergeCells count="16">
    <mergeCell ref="F60:G60"/>
    <mergeCell ref="H60:I60"/>
    <mergeCell ref="J60:K60"/>
    <mergeCell ref="D4:E4"/>
    <mergeCell ref="F44:G44"/>
    <mergeCell ref="J44:K44"/>
    <mergeCell ref="N44:O44"/>
    <mergeCell ref="F43:I43"/>
    <mergeCell ref="J43:M43"/>
    <mergeCell ref="N43:Q43"/>
    <mergeCell ref="H44:H45"/>
    <mergeCell ref="I44:I45"/>
    <mergeCell ref="L44:L45"/>
    <mergeCell ref="M44:M45"/>
    <mergeCell ref="P44:P45"/>
    <mergeCell ref="Q44:Q45"/>
  </mergeCells>
  <pageMargins left="0.70866141732283472" right="0.15748031496062992" top="0.74803149606299213" bottom="0.74803149606299213" header="0.31496062992125984" footer="0.31496062992125984"/>
  <pageSetup paperSize="8"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86"/>
  <sheetViews>
    <sheetView zoomScale="70" zoomScaleNormal="70" workbookViewId="0">
      <selection activeCell="R41" sqref="R41"/>
    </sheetView>
  </sheetViews>
  <sheetFormatPr defaultRowHeight="15" x14ac:dyDescent="0.25"/>
  <cols>
    <col min="1" max="1" width="22.42578125" customWidth="1"/>
    <col min="3" max="3" width="8.140625" customWidth="1"/>
    <col min="4" max="4" width="7.85546875" customWidth="1"/>
    <col min="5" max="5" width="7.28515625" customWidth="1"/>
    <col min="6" max="6" width="9.28515625" customWidth="1"/>
    <col min="7" max="7" width="6.140625" customWidth="1"/>
    <col min="8" max="8" width="8.5703125" customWidth="1"/>
    <col min="9" max="9" width="7.7109375" customWidth="1"/>
    <col min="10" max="10" width="8.42578125" customWidth="1"/>
    <col min="11" max="11" width="8.140625" customWidth="1"/>
    <col min="12" max="12" width="8.28515625" customWidth="1"/>
    <col min="14" max="14" width="7.85546875" customWidth="1"/>
    <col min="15" max="15" width="8" customWidth="1"/>
    <col min="16" max="16" width="8.7109375" customWidth="1"/>
    <col min="17" max="17" width="10.42578125" customWidth="1"/>
    <col min="18" max="18" width="10.5703125" customWidth="1"/>
    <col min="19" max="19" width="8.42578125" customWidth="1"/>
    <col min="22" max="22" width="15" customWidth="1"/>
    <col min="26" max="26" width="11.140625" customWidth="1"/>
  </cols>
  <sheetData>
    <row r="1" spans="1:20" ht="18.75" x14ac:dyDescent="0.3">
      <c r="A1" s="6" t="s">
        <v>360</v>
      </c>
      <c r="B1" s="6">
        <v>2035</v>
      </c>
    </row>
    <row r="2" spans="1:20" x14ac:dyDescent="0.25">
      <c r="A2" s="116" t="s">
        <v>373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</row>
    <row r="3" spans="1:20" ht="15.75" thickBot="1" x14ac:dyDescent="0.3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475" t="s">
        <v>136</v>
      </c>
      <c r="B4" s="476"/>
      <c r="C4" s="477"/>
      <c r="D4" s="477"/>
      <c r="E4" s="477"/>
      <c r="F4" s="477"/>
      <c r="G4" s="477"/>
      <c r="H4" s="477"/>
      <c r="I4" s="477"/>
      <c r="J4" s="477"/>
      <c r="K4" s="477"/>
      <c r="L4" s="477"/>
      <c r="M4" s="477"/>
      <c r="N4" s="477"/>
      <c r="O4" s="477"/>
      <c r="P4" s="476"/>
      <c r="Q4" s="477"/>
      <c r="R4" s="477"/>
      <c r="S4" s="477"/>
      <c r="T4" s="478"/>
    </row>
    <row r="5" spans="1:20" x14ac:dyDescent="0.25">
      <c r="A5" s="497" t="s">
        <v>0</v>
      </c>
      <c r="B5" s="410" t="s">
        <v>2</v>
      </c>
      <c r="C5" s="411" t="s">
        <v>139</v>
      </c>
      <c r="D5" s="411" t="s">
        <v>3</v>
      </c>
      <c r="E5" s="411" t="s">
        <v>140</v>
      </c>
      <c r="F5" s="411" t="s">
        <v>141</v>
      </c>
      <c r="G5" s="411" t="s">
        <v>4</v>
      </c>
      <c r="H5" s="411" t="s">
        <v>5</v>
      </c>
      <c r="I5" s="411" t="s">
        <v>6</v>
      </c>
      <c r="J5" s="1067" t="s">
        <v>7</v>
      </c>
      <c r="K5" s="1068"/>
      <c r="L5" s="1068"/>
      <c r="M5" s="1068"/>
      <c r="N5" s="1068"/>
      <c r="O5" s="1068"/>
      <c r="P5" s="412" t="s">
        <v>8</v>
      </c>
      <c r="Q5" s="413" t="s">
        <v>9</v>
      </c>
      <c r="R5" s="413" t="s">
        <v>10</v>
      </c>
      <c r="S5" s="498"/>
      <c r="T5" s="414" t="s">
        <v>34</v>
      </c>
    </row>
    <row r="6" spans="1:20" x14ac:dyDescent="0.25">
      <c r="A6" s="481" t="s">
        <v>1</v>
      </c>
      <c r="B6" s="238"/>
      <c r="C6" s="239"/>
      <c r="D6" s="239" t="s">
        <v>128</v>
      </c>
      <c r="E6" s="239"/>
      <c r="F6" s="239" t="s">
        <v>142</v>
      </c>
      <c r="G6" s="239"/>
      <c r="H6" s="239"/>
      <c r="I6" s="239"/>
      <c r="J6" s="482" t="s">
        <v>129</v>
      </c>
      <c r="K6" s="483" t="s">
        <v>130</v>
      </c>
      <c r="L6" s="483" t="s">
        <v>131</v>
      </c>
      <c r="M6" s="483" t="s">
        <v>132</v>
      </c>
      <c r="N6" s="483" t="s">
        <v>133</v>
      </c>
      <c r="O6" s="483" t="s">
        <v>134</v>
      </c>
      <c r="P6" s="302" t="s">
        <v>361</v>
      </c>
      <c r="Q6" s="303"/>
      <c r="R6" s="303"/>
      <c r="S6" s="499"/>
      <c r="T6" s="415"/>
    </row>
    <row r="7" spans="1:20" x14ac:dyDescent="0.25">
      <c r="A7" s="485" t="s">
        <v>106</v>
      </c>
      <c r="B7" s="486"/>
      <c r="C7" s="486"/>
      <c r="D7" s="486"/>
      <c r="E7" s="486"/>
      <c r="F7" s="486">
        <f>+Husholdninger!F83</f>
        <v>0.18884156518799999</v>
      </c>
      <c r="G7" s="486"/>
      <c r="H7" s="486"/>
      <c r="I7" s="486"/>
      <c r="J7" s="486"/>
      <c r="K7" s="486"/>
      <c r="L7" s="486"/>
      <c r="M7" s="486"/>
      <c r="N7" s="486"/>
      <c r="O7" s="486"/>
      <c r="P7" s="486">
        <f>+Husholdninger!P83</f>
        <v>75.560711558794708</v>
      </c>
      <c r="Q7" s="486">
        <f>+Husholdninger!Q83</f>
        <v>70.01117464504415</v>
      </c>
      <c r="R7" s="486">
        <f>+Husholdninger!R83</f>
        <v>38.769020054425006</v>
      </c>
      <c r="S7" s="500"/>
      <c r="T7" s="288">
        <f t="shared" ref="T7:T12" si="0">+SUM(B7:R7)</f>
        <v>184.52974782345186</v>
      </c>
    </row>
    <row r="8" spans="1:20" x14ac:dyDescent="0.25">
      <c r="A8" s="485" t="s">
        <v>103</v>
      </c>
      <c r="B8" s="226"/>
      <c r="C8" s="226">
        <f>+'H&amp;S'!C141</f>
        <v>0.14109727746846562</v>
      </c>
      <c r="D8" s="226"/>
      <c r="E8" s="226"/>
      <c r="F8" s="226"/>
      <c r="G8" s="226"/>
      <c r="H8" s="226"/>
      <c r="I8" s="226"/>
      <c r="J8" s="226">
        <f>+'H&amp;S'!J141</f>
        <v>0</v>
      </c>
      <c r="K8" s="226">
        <f>+'H&amp;S'!K141</f>
        <v>0</v>
      </c>
      <c r="L8" s="226">
        <f>+'H&amp;S'!L141</f>
        <v>1.715579837131034</v>
      </c>
      <c r="M8" s="226">
        <f>+'H&amp;S'!M141</f>
        <v>1.8854100727073904</v>
      </c>
      <c r="N8" s="226">
        <f>+'H&amp;S'!N141</f>
        <v>0</v>
      </c>
      <c r="O8" s="226">
        <f>+'H&amp;S'!O141</f>
        <v>1.6723901792079556</v>
      </c>
      <c r="P8" s="226">
        <f>+'H&amp;S'!P141</f>
        <v>11.736038779414109</v>
      </c>
      <c r="Q8" s="226">
        <f>+'H&amp;S'!Q141</f>
        <v>33.589107971123248</v>
      </c>
      <c r="R8" s="226">
        <f>+'H&amp;S'!R141</f>
        <v>43.583440733516269</v>
      </c>
      <c r="S8" s="500"/>
      <c r="T8" s="288">
        <f t="shared" si="0"/>
        <v>94.323064850568471</v>
      </c>
    </row>
    <row r="9" spans="1:20" x14ac:dyDescent="0.25">
      <c r="A9" s="485" t="s">
        <v>102</v>
      </c>
      <c r="B9" s="486"/>
      <c r="C9" s="486"/>
      <c r="D9" s="486">
        <f>+Produktion!C63</f>
        <v>3.8471336108683349</v>
      </c>
      <c r="E9" s="486"/>
      <c r="F9" s="486"/>
      <c r="G9" s="486"/>
      <c r="H9" s="486"/>
      <c r="I9" s="486">
        <f>+Produktion!F63</f>
        <v>2.5227920261360794</v>
      </c>
      <c r="J9" s="486">
        <f>+Produktion!G63</f>
        <v>1.1787977540506946</v>
      </c>
      <c r="K9" s="486">
        <f>+Produktion!H63</f>
        <v>6.8507241146123707</v>
      </c>
      <c r="L9" s="486">
        <f>+Produktion!I63</f>
        <v>1.4233991991582151</v>
      </c>
      <c r="M9" s="486">
        <f>+Produktion!J63</f>
        <v>0</v>
      </c>
      <c r="N9" s="486">
        <f>+Produktion!K63</f>
        <v>0</v>
      </c>
      <c r="O9" s="486">
        <f>+Produktion!L63</f>
        <v>0</v>
      </c>
      <c r="P9" s="486">
        <f>+Produktion!M63</f>
        <v>0.23621747585821209</v>
      </c>
      <c r="Q9" s="486">
        <f>+Produktion!N63</f>
        <v>0</v>
      </c>
      <c r="R9" s="486">
        <f>+Produktion!O63</f>
        <v>7.0748938712617289</v>
      </c>
      <c r="S9" s="500"/>
      <c r="T9" s="288">
        <f t="shared" si="0"/>
        <v>23.133958051945637</v>
      </c>
    </row>
    <row r="10" spans="1:20" x14ac:dyDescent="0.25">
      <c r="A10" s="485" t="s">
        <v>31</v>
      </c>
      <c r="B10" s="486"/>
      <c r="C10" s="486"/>
      <c r="D10" s="486">
        <f>+Produktion!C64</f>
        <v>0.12629762704228786</v>
      </c>
      <c r="E10" s="486"/>
      <c r="F10" s="486"/>
      <c r="G10" s="486"/>
      <c r="H10" s="486"/>
      <c r="I10" s="486"/>
      <c r="J10" s="486">
        <f>+Produktion!G64</f>
        <v>1.0364246743649865</v>
      </c>
      <c r="K10" s="486">
        <f>+Produktion!H64</f>
        <v>1.5274328372458215</v>
      </c>
      <c r="L10" s="486">
        <f>+Produktion!I64</f>
        <v>7.2250397647418199</v>
      </c>
      <c r="M10" s="486">
        <f>+Produktion!J64</f>
        <v>16.490052811306789</v>
      </c>
      <c r="N10" s="486">
        <f>+Produktion!K64</f>
        <v>5.1186086297486213</v>
      </c>
      <c r="O10" s="486">
        <f>+Produktion!L64</f>
        <v>23.958022088725844</v>
      </c>
      <c r="P10" s="486">
        <f>+Produktion!M64</f>
        <v>11.75679496841934</v>
      </c>
      <c r="Q10" s="486">
        <f>+Produktion!N64</f>
        <v>5.9137125441889724</v>
      </c>
      <c r="R10" s="486">
        <f>+Produktion!O64</f>
        <v>36.879063667825321</v>
      </c>
      <c r="S10" s="500"/>
      <c r="T10" s="288">
        <f t="shared" si="0"/>
        <v>110.03144961360979</v>
      </c>
    </row>
    <row r="11" spans="1:20" x14ac:dyDescent="0.25">
      <c r="A11" s="485" t="s">
        <v>32</v>
      </c>
      <c r="B11" s="486"/>
      <c r="C11" s="486"/>
      <c r="D11" s="486">
        <f>+Produktion!C65</f>
        <v>1.0599354818903133</v>
      </c>
      <c r="E11" s="486"/>
      <c r="F11" s="486"/>
      <c r="G11" s="486"/>
      <c r="H11" s="486"/>
      <c r="I11" s="486"/>
      <c r="J11" s="486">
        <f>+Produktion!G65</f>
        <v>0.92976796657045024</v>
      </c>
      <c r="K11" s="486">
        <f>+Produktion!H65</f>
        <v>0.92976796657045024</v>
      </c>
      <c r="L11" s="486">
        <f>+Produktion!I65</f>
        <v>0</v>
      </c>
      <c r="M11" s="486">
        <f>+Produktion!J65</f>
        <v>0</v>
      </c>
      <c r="N11" s="486">
        <f>+Produktion!K65</f>
        <v>0</v>
      </c>
      <c r="O11" s="486">
        <f>+Produktion!L65</f>
        <v>0</v>
      </c>
      <c r="P11" s="486">
        <f>+Produktion!M65</f>
        <v>0</v>
      </c>
      <c r="Q11" s="486">
        <f>+Produktion!N65</f>
        <v>0</v>
      </c>
      <c r="R11" s="486">
        <f>+Produktion!O65</f>
        <v>1.9760641891000597</v>
      </c>
      <c r="S11" s="500"/>
      <c r="T11" s="288">
        <f t="shared" si="0"/>
        <v>4.8955356041312736</v>
      </c>
    </row>
    <row r="12" spans="1:20" x14ac:dyDescent="0.25">
      <c r="A12" s="490" t="s">
        <v>35</v>
      </c>
      <c r="B12" s="491">
        <f>+Transport!B26</f>
        <v>24.041761200540623</v>
      </c>
      <c r="C12" s="491">
        <f>+Transport!C26</f>
        <v>9.7879528217191325</v>
      </c>
      <c r="D12" s="491">
        <f>+Transport!D26</f>
        <v>9.658972308423273</v>
      </c>
      <c r="E12" s="491">
        <f>+Transport!E26</f>
        <v>2.3281460092107533</v>
      </c>
      <c r="F12" s="491">
        <f>+Transport!F26</f>
        <v>0.23221743465436312</v>
      </c>
      <c r="G12" s="491">
        <f>+Transport!G26</f>
        <v>19.172227387547199</v>
      </c>
      <c r="H12" s="491">
        <f>+Transport!H26</f>
        <v>2.7022516988103495</v>
      </c>
      <c r="I12" s="491">
        <f>+Transport!I26</f>
        <v>2.3004237264867258</v>
      </c>
      <c r="J12" s="491"/>
      <c r="K12" s="492"/>
      <c r="L12" s="492"/>
      <c r="M12" s="492"/>
      <c r="N12" s="492"/>
      <c r="O12" s="492"/>
      <c r="P12" s="491"/>
      <c r="Q12" s="492"/>
      <c r="R12" s="492"/>
      <c r="S12" s="499"/>
      <c r="T12" s="289">
        <f t="shared" si="0"/>
        <v>70.223952587392418</v>
      </c>
    </row>
    <row r="13" spans="1:20" ht="15.75" thickBot="1" x14ac:dyDescent="0.3">
      <c r="A13" s="493" t="s">
        <v>33</v>
      </c>
      <c r="B13" s="494">
        <f t="shared" ref="B13:R13" si="1">SUM(B7:B12)</f>
        <v>24.041761200540623</v>
      </c>
      <c r="C13" s="495">
        <f t="shared" si="1"/>
        <v>9.9290500991875987</v>
      </c>
      <c r="D13" s="495">
        <f t="shared" si="1"/>
        <v>14.692339028224209</v>
      </c>
      <c r="E13" s="495">
        <f t="shared" si="1"/>
        <v>2.3281460092107533</v>
      </c>
      <c r="F13" s="495">
        <f t="shared" si="1"/>
        <v>0.42105899984236311</v>
      </c>
      <c r="G13" s="495">
        <f t="shared" si="1"/>
        <v>19.172227387547199</v>
      </c>
      <c r="H13" s="495">
        <f t="shared" si="1"/>
        <v>2.7022516988103495</v>
      </c>
      <c r="I13" s="495">
        <f t="shared" si="1"/>
        <v>4.8232157526228052</v>
      </c>
      <c r="J13" s="494">
        <f t="shared" si="1"/>
        <v>3.1449903949861318</v>
      </c>
      <c r="K13" s="495">
        <f t="shared" si="1"/>
        <v>9.3079249184286432</v>
      </c>
      <c r="L13" s="495">
        <f t="shared" si="1"/>
        <v>10.364018801031069</v>
      </c>
      <c r="M13" s="495">
        <f t="shared" si="1"/>
        <v>18.37546288401418</v>
      </c>
      <c r="N13" s="495">
        <f t="shared" si="1"/>
        <v>5.1186086297486213</v>
      </c>
      <c r="O13" s="495">
        <f t="shared" si="1"/>
        <v>25.630412267933799</v>
      </c>
      <c r="P13" s="494">
        <f t="shared" si="1"/>
        <v>99.289762782486378</v>
      </c>
      <c r="Q13" s="495">
        <f t="shared" si="1"/>
        <v>109.51399516035636</v>
      </c>
      <c r="R13" s="495">
        <f t="shared" si="1"/>
        <v>128.2824825161284</v>
      </c>
      <c r="S13" s="501"/>
      <c r="T13" s="496">
        <f>+SUM(T7:T12)</f>
        <v>487.13770853109952</v>
      </c>
    </row>
    <row r="14" spans="1:20" ht="15.75" thickBot="1" x14ac:dyDescent="0.3">
      <c r="A14" s="502"/>
      <c r="B14" s="502"/>
      <c r="C14" s="502"/>
      <c r="D14" s="502"/>
      <c r="E14" s="502"/>
      <c r="F14" s="502"/>
      <c r="G14" s="502"/>
      <c r="H14" s="502"/>
      <c r="I14" s="502"/>
      <c r="J14" s="502"/>
      <c r="K14" s="502"/>
      <c r="L14" s="502"/>
      <c r="M14" s="502"/>
      <c r="N14" s="502"/>
      <c r="O14" s="502"/>
      <c r="P14" s="502"/>
      <c r="Q14" s="502"/>
      <c r="R14" s="502"/>
      <c r="S14" s="502"/>
      <c r="T14" s="502"/>
    </row>
    <row r="15" spans="1:20" x14ac:dyDescent="0.25">
      <c r="A15" s="475" t="s">
        <v>54</v>
      </c>
      <c r="B15" s="476"/>
      <c r="C15" s="477"/>
      <c r="D15" s="477"/>
      <c r="E15" s="477"/>
      <c r="F15" s="477"/>
      <c r="G15" s="477"/>
      <c r="H15" s="477"/>
      <c r="I15" s="477"/>
      <c r="J15" s="477"/>
      <c r="K15" s="477"/>
      <c r="L15" s="477"/>
      <c r="M15" s="477"/>
      <c r="N15" s="477"/>
      <c r="O15" s="477"/>
      <c r="P15" s="476"/>
      <c r="Q15" s="477"/>
      <c r="R15" s="477"/>
      <c r="S15" s="476"/>
      <c r="T15" s="478"/>
    </row>
    <row r="16" spans="1:20" x14ac:dyDescent="0.25">
      <c r="A16" s="479" t="s">
        <v>0</v>
      </c>
      <c r="B16" s="232" t="s">
        <v>2</v>
      </c>
      <c r="C16" s="233" t="s">
        <v>139</v>
      </c>
      <c r="D16" s="233" t="s">
        <v>3</v>
      </c>
      <c r="E16" s="233" t="s">
        <v>140</v>
      </c>
      <c r="F16" s="233" t="s">
        <v>141</v>
      </c>
      <c r="G16" s="233" t="s">
        <v>4</v>
      </c>
      <c r="H16" s="233" t="s">
        <v>5</v>
      </c>
      <c r="I16" s="233" t="s">
        <v>6</v>
      </c>
      <c r="J16" s="1067" t="s">
        <v>7</v>
      </c>
      <c r="K16" s="1068"/>
      <c r="L16" s="1068"/>
      <c r="M16" s="1068"/>
      <c r="N16" s="1068"/>
      <c r="O16" s="1068"/>
      <c r="P16" s="412" t="s">
        <v>8</v>
      </c>
      <c r="Q16" s="413" t="s">
        <v>9</v>
      </c>
      <c r="R16" s="301" t="s">
        <v>10</v>
      </c>
      <c r="S16" s="488"/>
      <c r="T16" s="252" t="s">
        <v>34</v>
      </c>
    </row>
    <row r="17" spans="1:20" x14ac:dyDescent="0.25">
      <c r="A17" s="481" t="s">
        <v>1</v>
      </c>
      <c r="B17" s="238"/>
      <c r="C17" s="239"/>
      <c r="D17" s="239" t="s">
        <v>128</v>
      </c>
      <c r="E17" s="239"/>
      <c r="F17" s="239" t="s">
        <v>142</v>
      </c>
      <c r="G17" s="239"/>
      <c r="H17" s="239"/>
      <c r="I17" s="239"/>
      <c r="J17" s="482" t="s">
        <v>129</v>
      </c>
      <c r="K17" s="483" t="s">
        <v>130</v>
      </c>
      <c r="L17" s="483" t="s">
        <v>131</v>
      </c>
      <c r="M17" s="483" t="s">
        <v>132</v>
      </c>
      <c r="N17" s="483" t="s">
        <v>133</v>
      </c>
      <c r="O17" s="483" t="s">
        <v>134</v>
      </c>
      <c r="P17" s="302" t="s">
        <v>361</v>
      </c>
      <c r="Q17" s="303"/>
      <c r="R17" s="303"/>
      <c r="S17" s="499"/>
      <c r="T17" s="415"/>
    </row>
    <row r="18" spans="1:20" x14ac:dyDescent="0.25">
      <c r="A18" s="485" t="s">
        <v>106</v>
      </c>
      <c r="B18" s="486"/>
      <c r="C18" s="486"/>
      <c r="D18" s="486"/>
      <c r="E18" s="486"/>
      <c r="F18" s="486">
        <f>+Husholdninger!F84</f>
        <v>0.18884156518799999</v>
      </c>
      <c r="G18" s="486"/>
      <c r="H18" s="486"/>
      <c r="I18" s="486"/>
      <c r="J18" s="486"/>
      <c r="K18" s="486"/>
      <c r="L18" s="486"/>
      <c r="M18" s="486"/>
      <c r="N18" s="486"/>
      <c r="O18" s="486"/>
      <c r="P18" s="486">
        <f>+Husholdninger!P84</f>
        <v>61.290672303948753</v>
      </c>
      <c r="Q18" s="486">
        <f>+Husholdninger!Q84</f>
        <v>57.744857713806709</v>
      </c>
      <c r="R18" s="486">
        <f>+Husholdninger!R84</f>
        <v>31.146548620021143</v>
      </c>
      <c r="S18" s="488"/>
      <c r="T18" s="288">
        <f t="shared" ref="T18:T23" si="2">+SUM(B18:R18)</f>
        <v>150.37092020296461</v>
      </c>
    </row>
    <row r="19" spans="1:20" x14ac:dyDescent="0.25">
      <c r="A19" s="485" t="s">
        <v>103</v>
      </c>
      <c r="B19" s="226"/>
      <c r="C19" s="226">
        <f>+'H&amp;S'!C142</f>
        <v>0.1394138102468975</v>
      </c>
      <c r="D19" s="226"/>
      <c r="E19" s="226"/>
      <c r="F19" s="226"/>
      <c r="G19" s="226"/>
      <c r="H19" s="226"/>
      <c r="I19" s="226"/>
      <c r="J19" s="226">
        <f>+'H&amp;S'!J142</f>
        <v>0</v>
      </c>
      <c r="K19" s="226">
        <f>+'H&amp;S'!K142</f>
        <v>0</v>
      </c>
      <c r="L19" s="226">
        <f>+'H&amp;S'!L142</f>
        <v>1.5211248851374937</v>
      </c>
      <c r="M19" s="226">
        <f>+'H&amp;S'!M142</f>
        <v>1.6717054597005341</v>
      </c>
      <c r="N19" s="226">
        <f>+'H&amp;S'!N142</f>
        <v>0</v>
      </c>
      <c r="O19" s="226">
        <f>+'H&amp;S'!O142</f>
        <v>1.4828306233226456</v>
      </c>
      <c r="P19" s="226">
        <f>+'H&amp;S'!P142</f>
        <v>10.397865958770282</v>
      </c>
      <c r="Q19" s="226">
        <f>+'H&amp;S'!Q142</f>
        <v>29.780462250829288</v>
      </c>
      <c r="R19" s="226">
        <f>+'H&amp;S'!R142</f>
        <v>36.993713045413834</v>
      </c>
      <c r="S19" s="226"/>
      <c r="T19" s="288">
        <f t="shared" si="2"/>
        <v>81.987116033420975</v>
      </c>
    </row>
    <row r="20" spans="1:20" x14ac:dyDescent="0.25">
      <c r="A20" s="485" t="s">
        <v>102</v>
      </c>
      <c r="B20" s="486"/>
      <c r="C20" s="486"/>
      <c r="D20" s="486">
        <f>+Produktion!C67</f>
        <v>3.8239843243228817</v>
      </c>
      <c r="E20" s="486"/>
      <c r="F20" s="486"/>
      <c r="G20" s="486"/>
      <c r="H20" s="486"/>
      <c r="I20" s="486">
        <f>+Produktion!F67</f>
        <v>2.5076116759286879</v>
      </c>
      <c r="J20" s="486">
        <f>+Produktion!G67</f>
        <v>1.1208947800145548</v>
      </c>
      <c r="K20" s="486">
        <f>+Produktion!H67</f>
        <v>6.5142140566536941</v>
      </c>
      <c r="L20" s="486">
        <f>+Produktion!I67</f>
        <v>1.35348131325395</v>
      </c>
      <c r="M20" s="486">
        <f>+Produktion!J67</f>
        <v>0</v>
      </c>
      <c r="N20" s="486">
        <f>+Produktion!K67</f>
        <v>0</v>
      </c>
      <c r="O20" s="486">
        <f>+Produktion!L67</f>
        <v>0</v>
      </c>
      <c r="P20" s="486">
        <f>+Produktion!M67</f>
        <v>0.20934115368018957</v>
      </c>
      <c r="Q20" s="486">
        <f>+Produktion!N67</f>
        <v>0</v>
      </c>
      <c r="R20" s="486">
        <f>+Produktion!O67</f>
        <v>6.3635253174408488</v>
      </c>
      <c r="S20" s="488"/>
      <c r="T20" s="288">
        <f t="shared" si="2"/>
        <v>21.893052621294807</v>
      </c>
    </row>
    <row r="21" spans="1:20" x14ac:dyDescent="0.25">
      <c r="A21" s="485" t="s">
        <v>31</v>
      </c>
      <c r="B21" s="486"/>
      <c r="C21" s="486"/>
      <c r="D21" s="486">
        <f>+Produktion!C68</f>
        <v>0.12477330894416949</v>
      </c>
      <c r="E21" s="486"/>
      <c r="F21" s="486"/>
      <c r="G21" s="486"/>
      <c r="H21" s="486"/>
      <c r="I21" s="486"/>
      <c r="J21" s="486">
        <f>+Produktion!G68</f>
        <v>0.90463314471899292</v>
      </c>
      <c r="K21" s="486">
        <f>+Produktion!H68</f>
        <v>1.3332048194928823</v>
      </c>
      <c r="L21" s="486">
        <f>+Produktion!I68</f>
        <v>6.3063053251822225</v>
      </c>
      <c r="M21" s="486">
        <f>+Produktion!J68</f>
        <v>14.393181386205992</v>
      </c>
      <c r="N21" s="486">
        <f>+Produktion!K68</f>
        <v>4.4677275019068201</v>
      </c>
      <c r="O21" s="486">
        <f>+Produktion!L68</f>
        <v>20.911525361599729</v>
      </c>
      <c r="P21" s="486">
        <f>+Produktion!M68</f>
        <v>10.261803551342508</v>
      </c>
      <c r="Q21" s="486">
        <f>+Produktion!N68</f>
        <v>5.1617261805269088</v>
      </c>
      <c r="R21" s="486">
        <f>+Produktion!O68</f>
        <v>31.690338574301123</v>
      </c>
      <c r="S21" s="488"/>
      <c r="T21" s="288">
        <f t="shared" si="2"/>
        <v>95.555219154221348</v>
      </c>
    </row>
    <row r="22" spans="1:20" x14ac:dyDescent="0.25">
      <c r="A22" s="485" t="s">
        <v>32</v>
      </c>
      <c r="B22" s="486"/>
      <c r="C22" s="486"/>
      <c r="D22" s="486">
        <f>+Produktion!C69</f>
        <v>1.0471428516903631</v>
      </c>
      <c r="E22" s="486"/>
      <c r="F22" s="486"/>
      <c r="G22" s="486"/>
      <c r="H22" s="486"/>
      <c r="I22" s="486"/>
      <c r="J22" s="486">
        <f>+Produktion!G69</f>
        <v>0.81153888001841334</v>
      </c>
      <c r="K22" s="486">
        <f>+Produktion!H69</f>
        <v>0.81153888001841334</v>
      </c>
      <c r="L22" s="486">
        <f>+Produktion!I69</f>
        <v>0</v>
      </c>
      <c r="M22" s="486">
        <f>+Produktion!J69</f>
        <v>0</v>
      </c>
      <c r="N22" s="486">
        <f>+Produktion!K69</f>
        <v>0</v>
      </c>
      <c r="O22" s="486">
        <f>+Produktion!L69</f>
        <v>0</v>
      </c>
      <c r="P22" s="486">
        <f>+Produktion!M69</f>
        <v>0</v>
      </c>
      <c r="Q22" s="486">
        <f>+Produktion!N69</f>
        <v>0</v>
      </c>
      <c r="R22" s="486">
        <f>+Produktion!O69</f>
        <v>1.6980404860920209</v>
      </c>
      <c r="S22" s="488"/>
      <c r="T22" s="288">
        <f t="shared" si="2"/>
        <v>4.3682610978192109</v>
      </c>
    </row>
    <row r="23" spans="1:20" x14ac:dyDescent="0.25">
      <c r="A23" s="490" t="s">
        <v>35</v>
      </c>
      <c r="B23" s="491">
        <f>+Transport!B27</f>
        <v>22.656813489078811</v>
      </c>
      <c r="C23" s="491">
        <f>+Transport!C27</f>
        <v>9.6726784936038097</v>
      </c>
      <c r="D23" s="491">
        <f>+Transport!D27</f>
        <v>9.5493934651609251</v>
      </c>
      <c r="E23" s="491">
        <f>+Transport!E27</f>
        <v>2.3004544442237118</v>
      </c>
      <c r="F23" s="491">
        <f>+Transport!F27</f>
        <v>0.22948921939086184</v>
      </c>
      <c r="G23" s="491">
        <f>+Transport!G27</f>
        <v>16.705091075482144</v>
      </c>
      <c r="H23" s="491">
        <f>+Transport!H27</f>
        <v>2.6854163850355297</v>
      </c>
      <c r="I23" s="491">
        <f>+Transport!I27</f>
        <v>2.3004237264867258</v>
      </c>
      <c r="J23" s="491"/>
      <c r="K23" s="492"/>
      <c r="L23" s="492"/>
      <c r="M23" s="492"/>
      <c r="N23" s="492"/>
      <c r="O23" s="492"/>
      <c r="P23" s="491"/>
      <c r="Q23" s="492"/>
      <c r="R23" s="492"/>
      <c r="S23" s="484"/>
      <c r="T23" s="289">
        <f t="shared" si="2"/>
        <v>66.099760298462513</v>
      </c>
    </row>
    <row r="24" spans="1:20" ht="15.75" thickBot="1" x14ac:dyDescent="0.3">
      <c r="A24" s="493" t="s">
        <v>33</v>
      </c>
      <c r="B24" s="494">
        <f t="shared" ref="B24:R24" si="3">SUM(B18:B23)</f>
        <v>22.656813489078811</v>
      </c>
      <c r="C24" s="495">
        <f t="shared" si="3"/>
        <v>9.812092303850708</v>
      </c>
      <c r="D24" s="495">
        <f t="shared" si="3"/>
        <v>14.545293950118339</v>
      </c>
      <c r="E24" s="495">
        <f t="shared" si="3"/>
        <v>2.3004544442237118</v>
      </c>
      <c r="F24" s="495">
        <f t="shared" si="3"/>
        <v>0.41833078457886186</v>
      </c>
      <c r="G24" s="495">
        <f t="shared" si="3"/>
        <v>16.705091075482144</v>
      </c>
      <c r="H24" s="495">
        <f t="shared" si="3"/>
        <v>2.6854163850355297</v>
      </c>
      <c r="I24" s="495">
        <f t="shared" si="3"/>
        <v>4.8080354024154133</v>
      </c>
      <c r="J24" s="494">
        <f t="shared" si="3"/>
        <v>2.8370668047519612</v>
      </c>
      <c r="K24" s="495">
        <f t="shared" si="3"/>
        <v>8.6589577561649911</v>
      </c>
      <c r="L24" s="495">
        <f t="shared" si="3"/>
        <v>9.1809115235736662</v>
      </c>
      <c r="M24" s="495">
        <f t="shared" si="3"/>
        <v>16.064886845906525</v>
      </c>
      <c r="N24" s="495">
        <f t="shared" si="3"/>
        <v>4.4677275019068201</v>
      </c>
      <c r="O24" s="495">
        <f t="shared" si="3"/>
        <v>22.394355984922374</v>
      </c>
      <c r="P24" s="494">
        <f t="shared" si="3"/>
        <v>82.15968296774173</v>
      </c>
      <c r="Q24" s="495">
        <f t="shared" si="3"/>
        <v>92.68704614516291</v>
      </c>
      <c r="R24" s="495">
        <f t="shared" si="3"/>
        <v>107.89216604326897</v>
      </c>
      <c r="S24" s="503"/>
      <c r="T24" s="496">
        <f>+SUM(T18:T23)</f>
        <v>420.27432940818346</v>
      </c>
    </row>
    <row r="25" spans="1:20" ht="15.75" thickBot="1" x14ac:dyDescent="0.3">
      <c r="A25" s="502"/>
      <c r="B25" s="502"/>
      <c r="C25" s="502"/>
      <c r="D25" s="502"/>
      <c r="E25" s="502"/>
      <c r="F25" s="502"/>
      <c r="G25" s="502"/>
      <c r="H25" s="502"/>
      <c r="I25" s="502"/>
      <c r="J25" s="502"/>
      <c r="K25" s="502"/>
      <c r="L25" s="502"/>
      <c r="M25" s="502"/>
      <c r="N25" s="502"/>
      <c r="O25" s="502"/>
      <c r="P25" s="502"/>
      <c r="Q25" s="502"/>
      <c r="R25" s="502"/>
      <c r="S25" s="502"/>
      <c r="T25" s="502"/>
    </row>
    <row r="26" spans="1:20" x14ac:dyDescent="0.25">
      <c r="A26" s="475" t="s">
        <v>383</v>
      </c>
      <c r="B26" s="476"/>
      <c r="C26" s="477"/>
      <c r="D26" s="477"/>
      <c r="E26" s="477"/>
      <c r="F26" s="477"/>
      <c r="G26" s="477"/>
      <c r="H26" s="477"/>
      <c r="I26" s="477"/>
      <c r="J26" s="477"/>
      <c r="K26" s="477"/>
      <c r="L26" s="477"/>
      <c r="M26" s="477"/>
      <c r="N26" s="477"/>
      <c r="O26" s="477"/>
      <c r="P26" s="477"/>
      <c r="Q26" s="477"/>
      <c r="R26" s="477"/>
      <c r="S26" s="477"/>
      <c r="T26" s="478"/>
    </row>
    <row r="27" spans="1:20" x14ac:dyDescent="0.25">
      <c r="A27" s="479" t="s">
        <v>0</v>
      </c>
      <c r="B27" s="232" t="s">
        <v>2</v>
      </c>
      <c r="C27" s="233" t="s">
        <v>139</v>
      </c>
      <c r="D27" s="233" t="s">
        <v>3</v>
      </c>
      <c r="E27" s="233" t="s">
        <v>140</v>
      </c>
      <c r="F27" s="233" t="s">
        <v>141</v>
      </c>
      <c r="G27" s="233" t="s">
        <v>4</v>
      </c>
      <c r="H27" s="233" t="s">
        <v>5</v>
      </c>
      <c r="I27" s="233" t="s">
        <v>6</v>
      </c>
      <c r="J27" s="1067" t="s">
        <v>7</v>
      </c>
      <c r="K27" s="1068"/>
      <c r="L27" s="1068"/>
      <c r="M27" s="1068"/>
      <c r="N27" s="1068"/>
      <c r="O27" s="1068"/>
      <c r="P27" s="412" t="s">
        <v>8</v>
      </c>
      <c r="Q27" s="301" t="s">
        <v>9</v>
      </c>
      <c r="R27" s="301" t="s">
        <v>10</v>
      </c>
      <c r="S27" s="480"/>
      <c r="T27" s="414" t="s">
        <v>34</v>
      </c>
    </row>
    <row r="28" spans="1:20" x14ac:dyDescent="0.25">
      <c r="A28" s="481" t="s">
        <v>1</v>
      </c>
      <c r="B28" s="238"/>
      <c r="C28" s="239"/>
      <c r="D28" s="239" t="s">
        <v>128</v>
      </c>
      <c r="E28" s="239"/>
      <c r="F28" s="239" t="s">
        <v>142</v>
      </c>
      <c r="G28" s="239"/>
      <c r="H28" s="239"/>
      <c r="I28" s="239"/>
      <c r="J28" s="482" t="s">
        <v>129</v>
      </c>
      <c r="K28" s="483" t="s">
        <v>130</v>
      </c>
      <c r="L28" s="483" t="s">
        <v>131</v>
      </c>
      <c r="M28" s="483" t="s">
        <v>132</v>
      </c>
      <c r="N28" s="483" t="s">
        <v>133</v>
      </c>
      <c r="O28" s="483" t="s">
        <v>134</v>
      </c>
      <c r="P28" s="302" t="s">
        <v>361</v>
      </c>
      <c r="Q28" s="303"/>
      <c r="R28" s="303"/>
      <c r="S28" s="484"/>
      <c r="T28" s="415"/>
    </row>
    <row r="29" spans="1:20" x14ac:dyDescent="0.25">
      <c r="A29" s="485" t="s">
        <v>106</v>
      </c>
      <c r="B29" s="486"/>
      <c r="C29" s="486"/>
      <c r="D29" s="486"/>
      <c r="E29" s="486"/>
      <c r="F29" s="486">
        <f>+Husholdninger!F85</f>
        <v>0.18884156518799999</v>
      </c>
      <c r="G29" s="486"/>
      <c r="H29" s="486"/>
      <c r="I29" s="486"/>
      <c r="J29" s="486"/>
      <c r="K29" s="486"/>
      <c r="L29" s="486"/>
      <c r="M29" s="486"/>
      <c r="N29" s="486"/>
      <c r="O29" s="486"/>
      <c r="P29" s="486">
        <f>+Husholdninger!P85</f>
        <v>58.428685987022881</v>
      </c>
      <c r="Q29" s="486">
        <f>+Husholdninger!Q85</f>
        <v>54.978017242129553</v>
      </c>
      <c r="R29" s="486">
        <f>+Husholdninger!R85</f>
        <v>28.98814941262977</v>
      </c>
      <c r="S29" s="488"/>
      <c r="T29" s="288">
        <f t="shared" ref="T29:T34" si="4">+SUM(B29:R29)</f>
        <v>142.58369420697022</v>
      </c>
    </row>
    <row r="30" spans="1:20" x14ac:dyDescent="0.25">
      <c r="A30" s="485" t="s">
        <v>103</v>
      </c>
      <c r="B30" s="226"/>
      <c r="C30" s="226">
        <f>+'H&amp;S'!C143</f>
        <v>0.1394138102468975</v>
      </c>
      <c r="D30" s="226"/>
      <c r="E30" s="226"/>
      <c r="F30" s="226"/>
      <c r="G30" s="226"/>
      <c r="H30" s="226"/>
      <c r="I30" s="226"/>
      <c r="J30" s="226">
        <f>+'H&amp;S'!J143</f>
        <v>0</v>
      </c>
      <c r="K30" s="226">
        <f>+'H&amp;S'!K143</f>
        <v>0</v>
      </c>
      <c r="L30" s="226">
        <f>+'H&amp;S'!L143</f>
        <v>1.3643269262226976</v>
      </c>
      <c r="M30" s="226">
        <f>+'H&amp;S'!M143</f>
        <v>1.4993856149929303</v>
      </c>
      <c r="N30" s="226">
        <f>+'H&amp;S'!N143</f>
        <v>0</v>
      </c>
      <c r="O30" s="226">
        <f>+'H&amp;S'!O143</f>
        <v>1.3299800471305867</v>
      </c>
      <c r="P30" s="226">
        <f>+'H&amp;S'!P143</f>
        <v>9.8181791297326164</v>
      </c>
      <c r="Q30" s="226">
        <f>+'H&amp;S'!Q143</f>
        <v>28.130584352799008</v>
      </c>
      <c r="R30" s="226">
        <f>+'H&amp;S'!R143</f>
        <v>35.166941470401866</v>
      </c>
      <c r="S30" s="488"/>
      <c r="T30" s="288">
        <f t="shared" si="4"/>
        <v>77.448811351526601</v>
      </c>
    </row>
    <row r="31" spans="1:20" x14ac:dyDescent="0.25">
      <c r="A31" s="485" t="s">
        <v>102</v>
      </c>
      <c r="B31" s="486"/>
      <c r="C31" s="486"/>
      <c r="D31" s="486">
        <f>+Produktion!C71</f>
        <v>3.8239843243228817</v>
      </c>
      <c r="E31" s="486"/>
      <c r="F31" s="486"/>
      <c r="G31" s="486"/>
      <c r="H31" s="486"/>
      <c r="I31" s="486">
        <f>+Produktion!F71</f>
        <v>2.5076116759286879</v>
      </c>
      <c r="J31" s="486">
        <f>+Produktion!G71</f>
        <v>1.0289020954541945</v>
      </c>
      <c r="K31" s="486">
        <f>+Produktion!H71</f>
        <v>5.9795875693534084</v>
      </c>
      <c r="L31" s="486">
        <f>+Produktion!I71</f>
        <v>1.2424000755423283</v>
      </c>
      <c r="M31" s="486">
        <f>+Produktion!J71</f>
        <v>0</v>
      </c>
      <c r="N31" s="486">
        <f>+Produktion!K71</f>
        <v>0</v>
      </c>
      <c r="O31" s="486">
        <f>+Produktion!L71</f>
        <v>0</v>
      </c>
      <c r="P31" s="486">
        <f>+Produktion!M71</f>
        <v>0.1964771187559021</v>
      </c>
      <c r="Q31" s="486">
        <f>+Produktion!N71</f>
        <v>0</v>
      </c>
      <c r="R31" s="486">
        <f>+Produktion!O71</f>
        <v>5.8846398145565884</v>
      </c>
      <c r="S31" s="488"/>
      <c r="T31" s="288">
        <f t="shared" si="4"/>
        <v>20.663602673913992</v>
      </c>
    </row>
    <row r="32" spans="1:20" x14ac:dyDescent="0.25">
      <c r="A32" s="485" t="s">
        <v>31</v>
      </c>
      <c r="B32" s="486"/>
      <c r="C32" s="486"/>
      <c r="D32" s="486">
        <f>+Produktion!C72</f>
        <v>0.12477330894416949</v>
      </c>
      <c r="E32" s="486"/>
      <c r="F32" s="486"/>
      <c r="G32" s="486"/>
      <c r="H32" s="486"/>
      <c r="I32" s="486"/>
      <c r="J32" s="486">
        <f>+Produktion!G72</f>
        <v>0.86206040889619173</v>
      </c>
      <c r="K32" s="486">
        <f>+Produktion!H72</f>
        <v>1.2704631690135748</v>
      </c>
      <c r="L32" s="486">
        <f>+Produktion!I72</f>
        <v>6.0095257165704856</v>
      </c>
      <c r="M32" s="486">
        <f>+Produktion!J72</f>
        <v>13.715827132294647</v>
      </c>
      <c r="N32" s="486">
        <f>+Produktion!K72</f>
        <v>4.257472788405221</v>
      </c>
      <c r="O32" s="486">
        <f>+Produktion!L72</f>
        <v>19.92741279611581</v>
      </c>
      <c r="P32" s="486">
        <f>+Produktion!M72</f>
        <v>9.7788751353242187</v>
      </c>
      <c r="Q32" s="486">
        <f>+Produktion!N72</f>
        <v>4.9188113521724048</v>
      </c>
      <c r="R32" s="486">
        <f>+Produktion!O72</f>
        <v>30.674665985420514</v>
      </c>
      <c r="S32" s="488"/>
      <c r="T32" s="288">
        <f t="shared" si="4"/>
        <v>91.539887793157249</v>
      </c>
    </row>
    <row r="33" spans="1:26" x14ac:dyDescent="0.25">
      <c r="A33" s="485" t="s">
        <v>32</v>
      </c>
      <c r="B33" s="486"/>
      <c r="C33" s="486"/>
      <c r="D33" s="486">
        <f>+Produktion!C73</f>
        <v>1.0471428516903631</v>
      </c>
      <c r="E33" s="486"/>
      <c r="F33" s="486"/>
      <c r="G33" s="486"/>
      <c r="H33" s="486"/>
      <c r="I33" s="486"/>
      <c r="J33" s="486">
        <f>+Produktion!G73</f>
        <v>0.77334723233156233</v>
      </c>
      <c r="K33" s="486">
        <f>+Produktion!H73</f>
        <v>0.77334723233156233</v>
      </c>
      <c r="L33" s="486">
        <f>+Produktion!I73</f>
        <v>0</v>
      </c>
      <c r="M33" s="486">
        <f>+Produktion!J73</f>
        <v>0</v>
      </c>
      <c r="N33" s="486">
        <f>+Produktion!K73</f>
        <v>0</v>
      </c>
      <c r="O33" s="486">
        <f>+Produktion!L73</f>
        <v>0</v>
      </c>
      <c r="P33" s="486">
        <f>+Produktion!M73</f>
        <v>0</v>
      </c>
      <c r="Q33" s="486">
        <f>+Produktion!N73</f>
        <v>0</v>
      </c>
      <c r="R33" s="486">
        <f>+Produktion!O73</f>
        <v>1.6436184365298316</v>
      </c>
      <c r="S33" s="488"/>
      <c r="T33" s="288">
        <f t="shared" si="4"/>
        <v>4.237455752883319</v>
      </c>
    </row>
    <row r="34" spans="1:26" x14ac:dyDescent="0.25">
      <c r="A34" s="490" t="s">
        <v>35</v>
      </c>
      <c r="B34" s="491">
        <f>+Transport!B28</f>
        <v>22.656813489078811</v>
      </c>
      <c r="C34" s="491">
        <f>+Transport!C28</f>
        <v>9.6726784936038097</v>
      </c>
      <c r="D34" s="491">
        <f>+Transport!D28</f>
        <v>9.5493934651609251</v>
      </c>
      <c r="E34" s="491">
        <f>+Transport!E28</f>
        <v>2.3004544442237118</v>
      </c>
      <c r="F34" s="491">
        <f>+Transport!F28</f>
        <v>0.22948921939086184</v>
      </c>
      <c r="G34" s="491">
        <f>+Transport!G28</f>
        <v>16.705091075482144</v>
      </c>
      <c r="H34" s="491">
        <f>+Transport!H28</f>
        <v>2.6854163850355297</v>
      </c>
      <c r="I34" s="491">
        <f>+Transport!I28</f>
        <v>2.3004237264867258</v>
      </c>
      <c r="J34" s="491"/>
      <c r="K34" s="492"/>
      <c r="L34" s="492"/>
      <c r="M34" s="492"/>
      <c r="N34" s="492"/>
      <c r="O34" s="492"/>
      <c r="P34" s="491"/>
      <c r="Q34" s="492"/>
      <c r="R34" s="492"/>
      <c r="S34" s="484"/>
      <c r="T34" s="289">
        <f t="shared" si="4"/>
        <v>66.099760298462513</v>
      </c>
    </row>
    <row r="35" spans="1:26" ht="15.75" thickBot="1" x14ac:dyDescent="0.3">
      <c r="A35" s="493" t="s">
        <v>33</v>
      </c>
      <c r="B35" s="494">
        <f t="shared" ref="B35:R35" si="5">SUM(B29:B34)</f>
        <v>22.656813489078811</v>
      </c>
      <c r="C35" s="495">
        <f t="shared" si="5"/>
        <v>9.812092303850708</v>
      </c>
      <c r="D35" s="495">
        <f t="shared" si="5"/>
        <v>14.545293950118339</v>
      </c>
      <c r="E35" s="495">
        <f t="shared" si="5"/>
        <v>2.3004544442237118</v>
      </c>
      <c r="F35" s="495">
        <f t="shared" si="5"/>
        <v>0.41833078457886186</v>
      </c>
      <c r="G35" s="495">
        <f t="shared" si="5"/>
        <v>16.705091075482144</v>
      </c>
      <c r="H35" s="495">
        <f t="shared" si="5"/>
        <v>2.6854163850355297</v>
      </c>
      <c r="I35" s="495">
        <f t="shared" si="5"/>
        <v>4.8080354024154133</v>
      </c>
      <c r="J35" s="494">
        <f t="shared" si="5"/>
        <v>2.6643097366819486</v>
      </c>
      <c r="K35" s="495">
        <f t="shared" si="5"/>
        <v>8.0233979706985465</v>
      </c>
      <c r="L35" s="495">
        <f t="shared" si="5"/>
        <v>8.6162527183355113</v>
      </c>
      <c r="M35" s="495">
        <f t="shared" si="5"/>
        <v>15.215212747287577</v>
      </c>
      <c r="N35" s="495">
        <f t="shared" si="5"/>
        <v>4.257472788405221</v>
      </c>
      <c r="O35" s="495">
        <f t="shared" si="5"/>
        <v>21.257392843246397</v>
      </c>
      <c r="P35" s="495">
        <f t="shared" si="5"/>
        <v>78.222217370835622</v>
      </c>
      <c r="Q35" s="495">
        <f t="shared" si="5"/>
        <v>88.02741294710097</v>
      </c>
      <c r="R35" s="495">
        <f t="shared" si="5"/>
        <v>102.35801511953858</v>
      </c>
      <c r="S35" s="504"/>
      <c r="T35" s="496">
        <f>+SUM(T29:T34)</f>
        <v>402.57321207691388</v>
      </c>
    </row>
    <row r="36" spans="1:26" ht="15.75" thickBot="1" x14ac:dyDescent="0.3">
      <c r="A36" s="502"/>
      <c r="B36" s="502"/>
      <c r="C36" s="502"/>
      <c r="D36" s="502"/>
      <c r="E36" s="502"/>
      <c r="F36" s="502"/>
      <c r="G36" s="502"/>
      <c r="H36" s="502"/>
      <c r="I36" s="502"/>
      <c r="J36" s="502"/>
      <c r="K36" s="502"/>
      <c r="L36" s="502"/>
      <c r="M36" s="502"/>
      <c r="N36" s="502"/>
      <c r="O36" s="502"/>
      <c r="P36" s="502"/>
      <c r="Q36" s="502"/>
      <c r="R36" s="502"/>
      <c r="S36" s="502"/>
      <c r="T36" s="502"/>
    </row>
    <row r="37" spans="1:26" x14ac:dyDescent="0.25">
      <c r="A37" s="475" t="s">
        <v>105</v>
      </c>
      <c r="B37" s="476"/>
      <c r="C37" s="477"/>
      <c r="D37" s="477"/>
      <c r="E37" s="477"/>
      <c r="F37" s="477"/>
      <c r="G37" s="477"/>
      <c r="H37" s="477"/>
      <c r="I37" s="477"/>
      <c r="J37" s="477"/>
      <c r="K37" s="477"/>
      <c r="L37" s="477"/>
      <c r="M37" s="477"/>
      <c r="N37" s="477"/>
      <c r="O37" s="477"/>
      <c r="P37" s="477"/>
      <c r="Q37" s="477"/>
      <c r="R37" s="477"/>
      <c r="S37" s="477"/>
      <c r="T37" s="478"/>
    </row>
    <row r="38" spans="1:26" x14ac:dyDescent="0.25">
      <c r="A38" s="479" t="s">
        <v>0</v>
      </c>
      <c r="B38" s="232" t="s">
        <v>2</v>
      </c>
      <c r="C38" s="233" t="s">
        <v>139</v>
      </c>
      <c r="D38" s="233" t="s">
        <v>3</v>
      </c>
      <c r="E38" s="233" t="s">
        <v>140</v>
      </c>
      <c r="F38" s="233" t="s">
        <v>141</v>
      </c>
      <c r="G38" s="233" t="s">
        <v>4</v>
      </c>
      <c r="H38" s="233" t="s">
        <v>5</v>
      </c>
      <c r="I38" s="233" t="s">
        <v>6</v>
      </c>
      <c r="J38" s="1067" t="s">
        <v>7</v>
      </c>
      <c r="K38" s="1068"/>
      <c r="L38" s="1068"/>
      <c r="M38" s="1068"/>
      <c r="N38" s="1068"/>
      <c r="O38" s="1068"/>
      <c r="P38" s="412" t="s">
        <v>8</v>
      </c>
      <c r="Q38" s="413" t="s">
        <v>9</v>
      </c>
      <c r="R38" s="301" t="s">
        <v>10</v>
      </c>
      <c r="S38" s="480"/>
      <c r="T38" s="414" t="s">
        <v>34</v>
      </c>
    </row>
    <row r="39" spans="1:26" x14ac:dyDescent="0.25">
      <c r="A39" s="481" t="s">
        <v>1</v>
      </c>
      <c r="B39" s="238"/>
      <c r="C39" s="239"/>
      <c r="D39" s="239" t="s">
        <v>128</v>
      </c>
      <c r="E39" s="239"/>
      <c r="F39" s="239" t="s">
        <v>142</v>
      </c>
      <c r="G39" s="239"/>
      <c r="H39" s="239"/>
      <c r="I39" s="239"/>
      <c r="J39" s="482" t="s">
        <v>129</v>
      </c>
      <c r="K39" s="483" t="s">
        <v>130</v>
      </c>
      <c r="L39" s="483" t="s">
        <v>131</v>
      </c>
      <c r="M39" s="483" t="s">
        <v>132</v>
      </c>
      <c r="N39" s="483" t="s">
        <v>133</v>
      </c>
      <c r="O39" s="483" t="s">
        <v>134</v>
      </c>
      <c r="P39" s="302" t="s">
        <v>361</v>
      </c>
      <c r="Q39" s="303"/>
      <c r="R39" s="303"/>
      <c r="S39" s="484"/>
      <c r="T39" s="415"/>
    </row>
    <row r="40" spans="1:26" x14ac:dyDescent="0.25">
      <c r="A40" s="485" t="s">
        <v>106</v>
      </c>
      <c r="B40" s="486"/>
      <c r="C40" s="486"/>
      <c r="D40" s="486"/>
      <c r="E40" s="486"/>
      <c r="F40" s="486">
        <f>+Husholdninger!F86</f>
        <v>0.18884156518799999</v>
      </c>
      <c r="G40" s="486"/>
      <c r="H40" s="486"/>
      <c r="I40" s="486"/>
      <c r="J40" s="486"/>
      <c r="K40" s="486"/>
      <c r="L40" s="486"/>
      <c r="M40" s="486"/>
      <c r="N40" s="486"/>
      <c r="O40" s="486"/>
      <c r="P40" s="486">
        <f>+Husholdninger!P86</f>
        <v>54.457044381370991</v>
      </c>
      <c r="Q40" s="486">
        <f>+Husholdninger!Q86</f>
        <v>51.138411626782677</v>
      </c>
      <c r="R40" s="486">
        <f>+Husholdninger!R86</f>
        <v>27.258843840298443</v>
      </c>
      <c r="S40" s="488"/>
      <c r="T40" s="288">
        <f t="shared" ref="T40:T45" si="6">+SUM(B40:R40)</f>
        <v>133.04314141364011</v>
      </c>
    </row>
    <row r="41" spans="1:26" x14ac:dyDescent="0.25">
      <c r="A41" s="485" t="s">
        <v>103</v>
      </c>
      <c r="B41" s="226"/>
      <c r="C41" s="226">
        <f>+'H&amp;S'!C144</f>
        <v>0.1394138102468975</v>
      </c>
      <c r="D41" s="226"/>
      <c r="E41" s="226"/>
      <c r="F41" s="226"/>
      <c r="G41" s="226"/>
      <c r="H41" s="226"/>
      <c r="I41" s="226"/>
      <c r="J41" s="226">
        <f>+'H&amp;S'!J144</f>
        <v>0</v>
      </c>
      <c r="K41" s="226">
        <f>+'H&amp;S'!K144</f>
        <v>0</v>
      </c>
      <c r="L41" s="226">
        <f>+'H&amp;S'!L144</f>
        <v>1.2685320273736993</v>
      </c>
      <c r="M41" s="226">
        <f>+'H&amp;S'!M144</f>
        <v>1.3941077006138913</v>
      </c>
      <c r="N41" s="226">
        <f>+'H&amp;S'!N144</f>
        <v>0</v>
      </c>
      <c r="O41" s="226">
        <f>+'H&amp;S'!O144</f>
        <v>1.2365967812598491</v>
      </c>
      <c r="P41" s="226">
        <f>+'H&amp;S'!P144</f>
        <v>9.2113981323972105</v>
      </c>
      <c r="Q41" s="226">
        <f>+'H&amp;S'!Q144</f>
        <v>26.403592283459762</v>
      </c>
      <c r="R41" s="226">
        <f>+'H&amp;S'!R144</f>
        <v>31.792645826723607</v>
      </c>
      <c r="S41" s="488"/>
      <c r="T41" s="288">
        <f t="shared" si="6"/>
        <v>71.446286562074917</v>
      </c>
    </row>
    <row r="42" spans="1:26" x14ac:dyDescent="0.25">
      <c r="A42" s="485" t="s">
        <v>102</v>
      </c>
      <c r="B42" s="486"/>
      <c r="C42" s="486"/>
      <c r="D42" s="486">
        <f>+Produktion!C75</f>
        <v>3.8239843243228817</v>
      </c>
      <c r="E42" s="486"/>
      <c r="F42" s="486"/>
      <c r="G42" s="486"/>
      <c r="H42" s="486"/>
      <c r="I42" s="486">
        <f>+Produktion!F75</f>
        <v>2.5076116759286879</v>
      </c>
      <c r="J42" s="486">
        <f>+Produktion!G75</f>
        <v>0.91328370326747521</v>
      </c>
      <c r="K42" s="486">
        <f>+Produktion!H75</f>
        <v>5.3076574568939261</v>
      </c>
      <c r="L42" s="486">
        <f>+Produktion!I75</f>
        <v>1.1027907776105821</v>
      </c>
      <c r="M42" s="486">
        <f>+Produktion!J75</f>
        <v>0</v>
      </c>
      <c r="N42" s="486">
        <f>+Produktion!K75</f>
        <v>0</v>
      </c>
      <c r="O42" s="486">
        <f>+Produktion!L75</f>
        <v>0</v>
      </c>
      <c r="P42" s="486">
        <f>+Produktion!M75</f>
        <v>0.17954800666582377</v>
      </c>
      <c r="Q42" s="486">
        <f>+Produktion!N75</f>
        <v>0</v>
      </c>
      <c r="R42" s="486">
        <f>+Produktion!O75</f>
        <v>5.4813349047935169</v>
      </c>
      <c r="S42" s="488"/>
      <c r="T42" s="288">
        <f t="shared" si="6"/>
        <v>19.316210849482893</v>
      </c>
    </row>
    <row r="43" spans="1:26" x14ac:dyDescent="0.25">
      <c r="A43" s="485" t="s">
        <v>31</v>
      </c>
      <c r="B43" s="486"/>
      <c r="C43" s="486"/>
      <c r="D43" s="486">
        <f>+Produktion!C76</f>
        <v>0.12477330894416949</v>
      </c>
      <c r="E43" s="486"/>
      <c r="F43" s="486"/>
      <c r="G43" s="486"/>
      <c r="H43" s="486"/>
      <c r="I43" s="486"/>
      <c r="J43" s="486">
        <f>+Produktion!G76</f>
        <v>0.80297893468936432</v>
      </c>
      <c r="K43" s="486">
        <f>+Produktion!H76</f>
        <v>1.1833917339074087</v>
      </c>
      <c r="L43" s="486">
        <f>+Produktion!I76</f>
        <v>5.5976617277423202</v>
      </c>
      <c r="M43" s="486">
        <f>+Produktion!J76</f>
        <v>12.775810309135387</v>
      </c>
      <c r="N43" s="486">
        <f>+Produktion!K76</f>
        <v>3.965686080491666</v>
      </c>
      <c r="O43" s="486">
        <f>+Produktion!L76</f>
        <v>18.561683767183808</v>
      </c>
      <c r="P43" s="486">
        <f>+Produktion!M76</f>
        <v>8.9362952240906068</v>
      </c>
      <c r="Q43" s="486">
        <f>+Produktion!N76</f>
        <v>4.4949904550717594</v>
      </c>
      <c r="R43" s="486">
        <f>+Produktion!O76</f>
        <v>28.572371913545435</v>
      </c>
      <c r="S43" s="488"/>
      <c r="T43" s="288">
        <f t="shared" si="6"/>
        <v>85.015643454801918</v>
      </c>
    </row>
    <row r="44" spans="1:26" x14ac:dyDescent="0.25">
      <c r="A44" s="485" t="s">
        <v>32</v>
      </c>
      <c r="B44" s="486"/>
      <c r="C44" s="486"/>
      <c r="D44" s="486">
        <f>+Produktion!C77</f>
        <v>1.0471428516903631</v>
      </c>
      <c r="E44" s="486"/>
      <c r="F44" s="486"/>
      <c r="G44" s="486"/>
      <c r="H44" s="486"/>
      <c r="I44" s="486"/>
      <c r="J44" s="486">
        <f>+Produktion!G77</f>
        <v>0.72034573256610845</v>
      </c>
      <c r="K44" s="486">
        <f>+Produktion!H77</f>
        <v>0.72034573256610845</v>
      </c>
      <c r="L44" s="486">
        <f>+Produktion!I77</f>
        <v>0</v>
      </c>
      <c r="M44" s="486">
        <f>+Produktion!J77</f>
        <v>0</v>
      </c>
      <c r="N44" s="486">
        <f>+Produktion!K77</f>
        <v>0</v>
      </c>
      <c r="O44" s="486">
        <f>+Produktion!L77</f>
        <v>0</v>
      </c>
      <c r="P44" s="486">
        <f>+Produktion!M77</f>
        <v>0</v>
      </c>
      <c r="Q44" s="486">
        <f>+Produktion!N77</f>
        <v>0</v>
      </c>
      <c r="R44" s="486">
        <f>+Produktion!O77</f>
        <v>1.5309727341386934</v>
      </c>
      <c r="S44" s="488"/>
      <c r="T44" s="288">
        <f t="shared" si="6"/>
        <v>4.0188070509612732</v>
      </c>
    </row>
    <row r="45" spans="1:26" x14ac:dyDescent="0.25">
      <c r="A45" s="490" t="s">
        <v>35</v>
      </c>
      <c r="B45" s="491">
        <f>+Transport!B29</f>
        <v>22.656813489078811</v>
      </c>
      <c r="C45" s="491">
        <f>+Transport!C29</f>
        <v>9.6726784936038097</v>
      </c>
      <c r="D45" s="491">
        <f>+Transport!D29</f>
        <v>9.5493934651609251</v>
      </c>
      <c r="E45" s="491">
        <f>+Transport!E29</f>
        <v>2.3004544442237118</v>
      </c>
      <c r="F45" s="491">
        <f>+Transport!F29</f>
        <v>0.22948921939086184</v>
      </c>
      <c r="G45" s="491">
        <f>+Transport!G29</f>
        <v>16.705091075482144</v>
      </c>
      <c r="H45" s="491">
        <f>+Transport!H29</f>
        <v>2.6854163850355297</v>
      </c>
      <c r="I45" s="491">
        <f>+Transport!I29</f>
        <v>2.3004237264867258</v>
      </c>
      <c r="J45" s="491"/>
      <c r="K45" s="492"/>
      <c r="L45" s="492"/>
      <c r="M45" s="492"/>
      <c r="N45" s="492"/>
      <c r="O45" s="492"/>
      <c r="P45" s="491"/>
      <c r="Q45" s="492"/>
      <c r="R45" s="492"/>
      <c r="S45" s="484"/>
      <c r="T45" s="289">
        <f t="shared" si="6"/>
        <v>66.099760298462513</v>
      </c>
    </row>
    <row r="46" spans="1:26" ht="15.75" thickBot="1" x14ac:dyDescent="0.3">
      <c r="A46" s="493" t="s">
        <v>33</v>
      </c>
      <c r="B46" s="494">
        <f t="shared" ref="B46:T46" si="7">SUM(B40:B45)</f>
        <v>22.656813489078811</v>
      </c>
      <c r="C46" s="495">
        <f t="shared" si="7"/>
        <v>9.812092303850708</v>
      </c>
      <c r="D46" s="495">
        <f t="shared" si="7"/>
        <v>14.545293950118339</v>
      </c>
      <c r="E46" s="495">
        <f t="shared" si="7"/>
        <v>2.3004544442237118</v>
      </c>
      <c r="F46" s="495">
        <f t="shared" si="7"/>
        <v>0.41833078457886186</v>
      </c>
      <c r="G46" s="495">
        <f t="shared" si="7"/>
        <v>16.705091075482144</v>
      </c>
      <c r="H46" s="495">
        <f t="shared" si="7"/>
        <v>2.6854163850355297</v>
      </c>
      <c r="I46" s="495">
        <f t="shared" si="7"/>
        <v>4.8080354024154133</v>
      </c>
      <c r="J46" s="494">
        <f t="shared" si="7"/>
        <v>2.436608370522948</v>
      </c>
      <c r="K46" s="495">
        <f t="shared" si="7"/>
        <v>7.2113949233674433</v>
      </c>
      <c r="L46" s="495">
        <f t="shared" si="7"/>
        <v>7.9689845327266013</v>
      </c>
      <c r="M46" s="495">
        <f t="shared" si="7"/>
        <v>14.169918009749278</v>
      </c>
      <c r="N46" s="495">
        <f t="shared" si="7"/>
        <v>3.965686080491666</v>
      </c>
      <c r="O46" s="495">
        <f t="shared" si="7"/>
        <v>19.798280548443657</v>
      </c>
      <c r="P46" s="494">
        <f t="shared" si="7"/>
        <v>72.784285744524624</v>
      </c>
      <c r="Q46" s="495">
        <f t="shared" si="7"/>
        <v>82.0369943653142</v>
      </c>
      <c r="R46" s="495">
        <f t="shared" si="7"/>
        <v>94.636169219499706</v>
      </c>
      <c r="S46" s="494"/>
      <c r="T46" s="496">
        <f t="shared" si="7"/>
        <v>378.93984962942369</v>
      </c>
    </row>
    <row r="47" spans="1:26" ht="15.75" thickBot="1" x14ac:dyDescent="0.3">
      <c r="A47" s="21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</row>
    <row r="48" spans="1:26" ht="15.75" thickBot="1" x14ac:dyDescent="0.3">
      <c r="A48" t="str">
        <f>+A2</f>
        <v xml:space="preserve">Energistyrelsen, PB, den 12. september 2013, </v>
      </c>
      <c r="U48" s="1063" t="s">
        <v>350</v>
      </c>
      <c r="V48" s="1064"/>
      <c r="W48" s="1064"/>
      <c r="X48" s="25"/>
      <c r="Y48" s="25"/>
      <c r="Z48" s="26"/>
    </row>
    <row r="49" spans="1:26" x14ac:dyDescent="0.25">
      <c r="A49" s="325" t="s">
        <v>0</v>
      </c>
      <c r="B49" s="1069" t="s">
        <v>34</v>
      </c>
      <c r="C49" s="1070"/>
      <c r="D49" s="1070"/>
      <c r="E49" s="1070"/>
      <c r="F49" s="1070"/>
      <c r="G49" s="1070"/>
      <c r="H49" s="1070"/>
      <c r="I49" s="1070"/>
      <c r="J49" s="1071"/>
      <c r="K49" s="1072" t="s">
        <v>127</v>
      </c>
      <c r="L49" s="1073"/>
      <c r="M49" s="1073"/>
      <c r="N49" s="1073"/>
      <c r="O49" s="1073"/>
      <c r="P49" s="1073"/>
      <c r="Q49" s="1073"/>
      <c r="R49" s="1073"/>
      <c r="S49" s="1074"/>
      <c r="U49" s="1065" t="s">
        <v>351</v>
      </c>
      <c r="V49" s="1026"/>
      <c r="W49" s="1026"/>
      <c r="X49" s="1066" t="s">
        <v>190</v>
      </c>
      <c r="Y49" s="1026"/>
      <c r="Z49" s="1027"/>
    </row>
    <row r="50" spans="1:26" ht="18.75" x14ac:dyDescent="0.3">
      <c r="A50" s="821">
        <f>+B1</f>
        <v>2035</v>
      </c>
      <c r="B50" s="253">
        <v>2011</v>
      </c>
      <c r="C50" s="1078" t="s">
        <v>136</v>
      </c>
      <c r="D50" s="1079"/>
      <c r="E50" s="1078" t="s">
        <v>54</v>
      </c>
      <c r="F50" s="1079"/>
      <c r="G50" s="1078" t="s">
        <v>55</v>
      </c>
      <c r="H50" s="1079"/>
      <c r="I50" s="1078" t="s">
        <v>119</v>
      </c>
      <c r="J50" s="1080"/>
      <c r="K50" s="266">
        <v>2011</v>
      </c>
      <c r="L50" s="1075" t="s">
        <v>136</v>
      </c>
      <c r="M50" s="1076"/>
      <c r="N50" s="1075" t="s">
        <v>54</v>
      </c>
      <c r="O50" s="1076"/>
      <c r="P50" s="1075" t="s">
        <v>55</v>
      </c>
      <c r="Q50" s="1076"/>
      <c r="R50" s="1075" t="s">
        <v>119</v>
      </c>
      <c r="S50" s="1077"/>
      <c r="U50" s="825">
        <v>2011</v>
      </c>
      <c r="V50" s="823">
        <v>2035</v>
      </c>
      <c r="W50" s="18" t="s">
        <v>352</v>
      </c>
      <c r="X50" s="826">
        <v>2011</v>
      </c>
      <c r="Y50" s="823">
        <v>2035</v>
      </c>
      <c r="Z50" s="28" t="s">
        <v>352</v>
      </c>
    </row>
    <row r="51" spans="1:26" x14ac:dyDescent="0.25">
      <c r="A51" s="375" t="s">
        <v>1</v>
      </c>
      <c r="B51" s="254" t="s">
        <v>1</v>
      </c>
      <c r="C51" s="255" t="s">
        <v>1</v>
      </c>
      <c r="D51" s="256" t="s">
        <v>138</v>
      </c>
      <c r="E51" s="255" t="s">
        <v>1</v>
      </c>
      <c r="F51" s="256" t="s">
        <v>138</v>
      </c>
      <c r="G51" s="255" t="s">
        <v>1</v>
      </c>
      <c r="H51" s="256" t="s">
        <v>138</v>
      </c>
      <c r="I51" s="255" t="s">
        <v>1</v>
      </c>
      <c r="J51" s="256" t="s">
        <v>138</v>
      </c>
      <c r="K51" s="267" t="s">
        <v>1</v>
      </c>
      <c r="L51" s="268" t="s">
        <v>1</v>
      </c>
      <c r="M51" s="269" t="s">
        <v>138</v>
      </c>
      <c r="N51" s="268" t="s">
        <v>1</v>
      </c>
      <c r="O51" s="269" t="s">
        <v>138</v>
      </c>
      <c r="P51" s="268" t="s">
        <v>1</v>
      </c>
      <c r="Q51" s="269" t="s">
        <v>138</v>
      </c>
      <c r="R51" s="268" t="s">
        <v>1</v>
      </c>
      <c r="S51" s="270" t="s">
        <v>138</v>
      </c>
      <c r="U51" s="822" t="s">
        <v>1</v>
      </c>
      <c r="V51" s="828" t="s">
        <v>1</v>
      </c>
      <c r="W51" s="5"/>
      <c r="X51" s="827" t="s">
        <v>1</v>
      </c>
      <c r="Y51" s="828" t="s">
        <v>1</v>
      </c>
      <c r="Z51" s="32"/>
    </row>
    <row r="52" spans="1:26" x14ac:dyDescent="0.25">
      <c r="A52" s="12" t="s">
        <v>106</v>
      </c>
      <c r="B52" s="771">
        <f>+'2011'!T7+'2011'!T8</f>
        <v>172.47809228286673</v>
      </c>
      <c r="C52" s="771">
        <f>+T7</f>
        <v>184.52974782345186</v>
      </c>
      <c r="D52" s="772">
        <f>+(C52/$B52)^(1/42)-1</f>
        <v>1.6093998425339429E-3</v>
      </c>
      <c r="E52" s="773">
        <f t="shared" ref="E52:E57" si="8">+T18</f>
        <v>150.37092020296461</v>
      </c>
      <c r="F52" s="772">
        <f t="shared" ref="F52:F58" si="9">+(E52/$B52)^(1/42)-1</f>
        <v>-3.2605106679246543E-3</v>
      </c>
      <c r="G52" s="773">
        <f t="shared" ref="G52:G57" si="10">+T29</f>
        <v>142.58369420697022</v>
      </c>
      <c r="H52" s="772">
        <f t="shared" ref="H52:H58" si="11">+(G52/$B52)^(1/42)-1</f>
        <v>-4.5216765870832454E-3</v>
      </c>
      <c r="I52" s="773">
        <f t="shared" ref="I52:I57" si="12">+T40</f>
        <v>133.04314141364011</v>
      </c>
      <c r="J52" s="772">
        <f t="shared" ref="J52:J58" si="13">+(I52/$B52)^(1/42)-1</f>
        <v>-6.1618133959475685E-3</v>
      </c>
      <c r="K52" s="774">
        <f>+'2011'!R7+'2011'!R8</f>
        <v>31.303970478820005</v>
      </c>
      <c r="L52" s="774">
        <f>+R7</f>
        <v>38.769020054425006</v>
      </c>
      <c r="M52" s="775">
        <f>+(L52/$K52)^(1/42)-1</f>
        <v>5.1052862079337125E-3</v>
      </c>
      <c r="N52" s="776">
        <f>+R18</f>
        <v>31.146548620021143</v>
      </c>
      <c r="O52" s="775">
        <f>+(N52/$K52)^(1/42)-1</f>
        <v>-1.200285455185135E-4</v>
      </c>
      <c r="P52" s="776">
        <f>+R29</f>
        <v>28.98814941262977</v>
      </c>
      <c r="Q52" s="775">
        <f>+(P52/$K52)^(1/42)-1</f>
        <v>-1.8282751492597615E-3</v>
      </c>
      <c r="R52" s="776">
        <f>+R40</f>
        <v>27.258843840298443</v>
      </c>
      <c r="S52" s="777">
        <f>+(R52/$K52)^(1/42)-1</f>
        <v>-3.2890299376104881E-3</v>
      </c>
      <c r="U52" s="12">
        <v>196.1</v>
      </c>
      <c r="V52" s="18">
        <v>184.02</v>
      </c>
      <c r="W52" s="119">
        <f>+(V52/U52)^(1/($V$50-$U$50))-1</f>
        <v>-2.6456726001068409E-3</v>
      </c>
      <c r="X52" s="66">
        <v>36.61</v>
      </c>
      <c r="Y52" s="18">
        <v>39.93</v>
      </c>
      <c r="Z52" s="829">
        <f>+(Y52/X52)^(1/($V$50-$U$50))-1</f>
        <v>3.6234862585577954E-3</v>
      </c>
    </row>
    <row r="53" spans="1:26" x14ac:dyDescent="0.25">
      <c r="A53" s="12" t="s">
        <v>103</v>
      </c>
      <c r="B53" s="771">
        <f>+SUM('2011'!T9:T12)</f>
        <v>79.800400591248717</v>
      </c>
      <c r="C53" s="771">
        <f t="shared" ref="C53:C58" si="14">+T8</f>
        <v>94.323064850568471</v>
      </c>
      <c r="D53" s="772">
        <f t="shared" ref="D53:D58" si="15">+(C53/$B53)^(1/42)-1</f>
        <v>3.9888205741578364E-3</v>
      </c>
      <c r="E53" s="773">
        <f t="shared" si="8"/>
        <v>81.987116033420975</v>
      </c>
      <c r="F53" s="772">
        <f t="shared" si="9"/>
        <v>6.4386407230543341E-4</v>
      </c>
      <c r="G53" s="773">
        <f t="shared" si="10"/>
        <v>77.448811351526601</v>
      </c>
      <c r="H53" s="772">
        <f t="shared" si="11"/>
        <v>-7.1192039147416342E-4</v>
      </c>
      <c r="I53" s="773">
        <f t="shared" si="12"/>
        <v>71.446286562074917</v>
      </c>
      <c r="J53" s="772">
        <f t="shared" si="13"/>
        <v>-2.6294558113623134E-3</v>
      </c>
      <c r="K53" s="774">
        <f>+'2011'!R9+'2011'!R10+'2011'!R11+'2011'!R12</f>
        <v>33.263706394195452</v>
      </c>
      <c r="L53" s="774">
        <f t="shared" ref="L53:L58" si="16">+R8</f>
        <v>43.583440733516269</v>
      </c>
      <c r="M53" s="775">
        <f t="shared" ref="M53:M58" si="17">+(L53/$K53)^(1/42)-1</f>
        <v>6.4543202642759478E-3</v>
      </c>
      <c r="N53" s="776">
        <f>+R19</f>
        <v>36.993713045413834</v>
      </c>
      <c r="O53" s="775">
        <f>+(N53/$K53)^(1/42)-1</f>
        <v>2.533706230913646E-3</v>
      </c>
      <c r="P53" s="776">
        <f>+R30</f>
        <v>35.166941470401866</v>
      </c>
      <c r="Q53" s="775">
        <f>+(P53/$K53)^(1/42)-1</f>
        <v>1.3256296330912409E-3</v>
      </c>
      <c r="R53" s="776">
        <f>+R41</f>
        <v>31.792645826723607</v>
      </c>
      <c r="S53" s="777">
        <f>+(R53/$K53)^(1/42)-1</f>
        <v>-1.0763704119501893E-3</v>
      </c>
      <c r="U53" s="12">
        <v>84.5</v>
      </c>
      <c r="V53" s="18">
        <v>77.88</v>
      </c>
      <c r="W53" s="119">
        <f t="shared" ref="W53:W56" si="18">+(V53/U53)^(1/($V$50-$U$50))-1</f>
        <v>-3.3934937845884194E-3</v>
      </c>
      <c r="X53" s="66">
        <v>38.049999999999997</v>
      </c>
      <c r="Y53" s="18">
        <v>42.87</v>
      </c>
      <c r="Z53" s="829">
        <f t="shared" ref="Z53:Z56" si="19">+(Y53/X53)^(1/($V$50-$U$50))-1</f>
        <v>4.9820022877149484E-3</v>
      </c>
    </row>
    <row r="54" spans="1:26" x14ac:dyDescent="0.25">
      <c r="A54" s="12" t="s">
        <v>102</v>
      </c>
      <c r="B54" s="771">
        <f>+SUM('2011'!T13:T15)</f>
        <v>17.639573184151537</v>
      </c>
      <c r="C54" s="771">
        <f t="shared" si="14"/>
        <v>23.133958051945637</v>
      </c>
      <c r="D54" s="772">
        <f t="shared" si="15"/>
        <v>6.4769982181402952E-3</v>
      </c>
      <c r="E54" s="773">
        <f t="shared" si="8"/>
        <v>21.893052621294807</v>
      </c>
      <c r="F54" s="772">
        <f t="shared" si="9"/>
        <v>5.1566906787210431E-3</v>
      </c>
      <c r="G54" s="773">
        <f t="shared" si="10"/>
        <v>20.663602673913992</v>
      </c>
      <c r="H54" s="772">
        <f t="shared" si="11"/>
        <v>3.7744619146327096E-3</v>
      </c>
      <c r="I54" s="773">
        <f t="shared" si="12"/>
        <v>19.316210849482893</v>
      </c>
      <c r="J54" s="772">
        <f t="shared" si="13"/>
        <v>2.1642392915641739E-3</v>
      </c>
      <c r="K54" s="774">
        <f>+'2011'!R13+'2011'!R14+'2011'!R15</f>
        <v>5.1627323565941223</v>
      </c>
      <c r="L54" s="774">
        <f t="shared" si="16"/>
        <v>7.0748938712617289</v>
      </c>
      <c r="M54" s="775">
        <f t="shared" si="17"/>
        <v>7.5302699249837346E-3</v>
      </c>
      <c r="N54" s="776">
        <f>+R20</f>
        <v>6.3635253174408488</v>
      </c>
      <c r="O54" s="775">
        <f>+(N54/$K54)^(1/42)-1</f>
        <v>4.9913811977106981E-3</v>
      </c>
      <c r="P54" s="776">
        <f>+R31</f>
        <v>5.8846398145565884</v>
      </c>
      <c r="Q54" s="775">
        <f>+(P54/$K54)^(1/42)-1</f>
        <v>3.1210405520574191E-3</v>
      </c>
      <c r="R54" s="776">
        <f>+R42</f>
        <v>5.4813349047935169</v>
      </c>
      <c r="S54" s="777">
        <f>+(R54/$K54)^(1/42)-1</f>
        <v>1.4267955066178395E-3</v>
      </c>
      <c r="U54" s="12">
        <v>34.92</v>
      </c>
      <c r="V54" s="18">
        <v>36.26</v>
      </c>
      <c r="W54" s="119">
        <f t="shared" si="18"/>
        <v>1.5702095882499378E-3</v>
      </c>
      <c r="X54" s="66">
        <v>6.66</v>
      </c>
      <c r="Y54" s="18">
        <v>7.73</v>
      </c>
      <c r="Z54" s="829">
        <f t="shared" si="19"/>
        <v>6.2271996408995722E-3</v>
      </c>
    </row>
    <row r="55" spans="1:26" x14ac:dyDescent="0.25">
      <c r="A55" s="12" t="s">
        <v>31</v>
      </c>
      <c r="B55" s="771">
        <f>+'2011'!T16</f>
        <v>87.960767516890826</v>
      </c>
      <c r="C55" s="771">
        <f t="shared" si="14"/>
        <v>110.03144961360979</v>
      </c>
      <c r="D55" s="772">
        <f t="shared" si="15"/>
        <v>5.3445968890084572E-3</v>
      </c>
      <c r="E55" s="773">
        <f t="shared" si="8"/>
        <v>95.555219154221348</v>
      </c>
      <c r="F55" s="772">
        <f t="shared" si="9"/>
        <v>1.973692792316406E-3</v>
      </c>
      <c r="G55" s="773">
        <f t="shared" si="10"/>
        <v>91.539887793157249</v>
      </c>
      <c r="H55" s="772">
        <f t="shared" si="11"/>
        <v>9.5006812570819221E-4</v>
      </c>
      <c r="I55" s="773">
        <f t="shared" si="12"/>
        <v>85.015643454801918</v>
      </c>
      <c r="J55" s="772">
        <f t="shared" si="13"/>
        <v>-8.1051923730490749E-4</v>
      </c>
      <c r="K55" s="774">
        <f>+'2011'!R16</f>
        <v>27.863294250302356</v>
      </c>
      <c r="L55" s="774">
        <f t="shared" si="16"/>
        <v>36.879063667825321</v>
      </c>
      <c r="M55" s="775">
        <f t="shared" si="17"/>
        <v>6.6969392948652562E-3</v>
      </c>
      <c r="N55" s="776">
        <f>+R21</f>
        <v>31.690338574301123</v>
      </c>
      <c r="O55" s="775">
        <f>+(N55/$K55)^(1/42)-1</f>
        <v>3.0690249201523745E-3</v>
      </c>
      <c r="P55" s="776">
        <f>+R32</f>
        <v>30.674665985420514</v>
      </c>
      <c r="Q55" s="775">
        <f>+(P55/$K55)^(1/42)-1</f>
        <v>2.2913568058109401E-3</v>
      </c>
      <c r="R55" s="776">
        <f>+R43</f>
        <v>28.572371913545435</v>
      </c>
      <c r="S55" s="777">
        <f>+(R55/$K55)^(1/42)-1</f>
        <v>5.9851307438973933E-4</v>
      </c>
      <c r="U55" s="12">
        <v>94.46</v>
      </c>
      <c r="V55" s="18">
        <v>83.78</v>
      </c>
      <c r="W55" s="119">
        <f t="shared" si="18"/>
        <v>-4.9867807229412309E-3</v>
      </c>
      <c r="X55" s="66">
        <v>29.28</v>
      </c>
      <c r="Y55" s="18">
        <v>33.479999999999997</v>
      </c>
      <c r="Z55" s="829">
        <f t="shared" si="19"/>
        <v>5.6007742064816401E-3</v>
      </c>
    </row>
    <row r="56" spans="1:26" x14ac:dyDescent="0.25">
      <c r="A56" s="12" t="s">
        <v>32</v>
      </c>
      <c r="B56" s="771">
        <f>+'2011'!T17</f>
        <v>3.572114</v>
      </c>
      <c r="C56" s="771">
        <f t="shared" si="14"/>
        <v>4.8955356041312736</v>
      </c>
      <c r="D56" s="772">
        <f t="shared" si="15"/>
        <v>7.5321802555807782E-3</v>
      </c>
      <c r="E56" s="773">
        <f t="shared" si="8"/>
        <v>4.3682610978192109</v>
      </c>
      <c r="F56" s="772">
        <f t="shared" si="9"/>
        <v>4.8021467255265904E-3</v>
      </c>
      <c r="G56" s="773">
        <f t="shared" si="10"/>
        <v>4.237455752883319</v>
      </c>
      <c r="H56" s="772">
        <f t="shared" si="11"/>
        <v>4.0750771492061855E-3</v>
      </c>
      <c r="I56" s="773">
        <f t="shared" si="12"/>
        <v>4.0188070509612732</v>
      </c>
      <c r="J56" s="772">
        <f t="shared" si="13"/>
        <v>2.8093561919055876E-3</v>
      </c>
      <c r="K56" s="774">
        <f>+'2011'!R17</f>
        <v>1.30158</v>
      </c>
      <c r="L56" s="774">
        <f t="shared" si="16"/>
        <v>1.9760641891000597</v>
      </c>
      <c r="M56" s="775">
        <f t="shared" si="17"/>
        <v>9.9907243042309801E-3</v>
      </c>
      <c r="N56" s="776">
        <f>+R22</f>
        <v>1.6980404860920209</v>
      </c>
      <c r="O56" s="775">
        <f>+(N56/$K56)^(1/42)-1</f>
        <v>6.3509398527188399E-3</v>
      </c>
      <c r="P56" s="776">
        <f>+R33</f>
        <v>1.6436184365298316</v>
      </c>
      <c r="Q56" s="775">
        <f>+(P56/$K56)^(1/42)-1</f>
        <v>5.5707273067047147E-3</v>
      </c>
      <c r="R56" s="776">
        <f>+R44</f>
        <v>1.5309727341386934</v>
      </c>
      <c r="S56" s="777">
        <f>+(R56/$K56)^(1/42)-1</f>
        <v>3.8723448047874864E-3</v>
      </c>
      <c r="U56" s="12">
        <v>7.73</v>
      </c>
      <c r="V56" s="18">
        <v>11.69</v>
      </c>
      <c r="W56" s="119">
        <f t="shared" si="18"/>
        <v>1.7383740006168047E-2</v>
      </c>
      <c r="X56" s="66">
        <v>1.29</v>
      </c>
      <c r="Y56" s="18">
        <v>1.83</v>
      </c>
      <c r="Z56" s="829">
        <f t="shared" si="19"/>
        <v>1.4676395528734565E-2</v>
      </c>
    </row>
    <row r="57" spans="1:26" ht="15.75" thickBot="1" x14ac:dyDescent="0.3">
      <c r="A57" s="113" t="s">
        <v>35</v>
      </c>
      <c r="B57" s="778">
        <f>+'2011'!T18</f>
        <v>52.641499999999994</v>
      </c>
      <c r="C57" s="778">
        <f t="shared" si="14"/>
        <v>70.223952587392418</v>
      </c>
      <c r="D57" s="779">
        <f t="shared" si="15"/>
        <v>6.8851341967910429E-3</v>
      </c>
      <c r="E57" s="780">
        <f t="shared" si="8"/>
        <v>66.099760298462513</v>
      </c>
      <c r="F57" s="779">
        <f t="shared" si="9"/>
        <v>5.4352016534129355E-3</v>
      </c>
      <c r="G57" s="780">
        <f t="shared" si="10"/>
        <v>66.099760298462513</v>
      </c>
      <c r="H57" s="779">
        <f t="shared" si="11"/>
        <v>5.4352016534129355E-3</v>
      </c>
      <c r="I57" s="780">
        <f t="shared" si="12"/>
        <v>66.099760298462513</v>
      </c>
      <c r="J57" s="779">
        <f t="shared" si="13"/>
        <v>5.4352016534129355E-3</v>
      </c>
      <c r="K57" s="781"/>
      <c r="L57" s="781"/>
      <c r="M57" s="782"/>
      <c r="N57" s="783"/>
      <c r="O57" s="784"/>
      <c r="P57" s="783"/>
      <c r="Q57" s="784"/>
      <c r="R57" s="783"/>
      <c r="S57" s="785"/>
      <c r="U57" s="751"/>
      <c r="V57" s="548"/>
      <c r="W57" s="34"/>
      <c r="X57" s="360"/>
      <c r="Y57" s="34"/>
      <c r="Z57" s="35"/>
    </row>
    <row r="58" spans="1:26" ht="15.75" thickBot="1" x14ac:dyDescent="0.3">
      <c r="A58" s="126" t="s">
        <v>33</v>
      </c>
      <c r="B58" s="786">
        <f>+SUM(B52:B57)</f>
        <v>414.09244757515779</v>
      </c>
      <c r="C58" s="786">
        <f t="shared" si="14"/>
        <v>487.13770853109952</v>
      </c>
      <c r="D58" s="787">
        <f t="shared" si="15"/>
        <v>3.875528608151102E-3</v>
      </c>
      <c r="E58" s="788">
        <f t="shared" ref="E58" si="20">+SUM(E52:E57)</f>
        <v>420.27432940818346</v>
      </c>
      <c r="F58" s="787">
        <f t="shared" si="9"/>
        <v>3.5288155988566494E-4</v>
      </c>
      <c r="G58" s="788">
        <f>+SUM(G52:G57)</f>
        <v>402.57321207691388</v>
      </c>
      <c r="H58" s="787">
        <f t="shared" si="11"/>
        <v>-6.7149536366883922E-4</v>
      </c>
      <c r="I58" s="788">
        <f>+SUM(I52:I57)</f>
        <v>378.93984962942369</v>
      </c>
      <c r="J58" s="787">
        <f t="shared" si="13"/>
        <v>-2.1099558554787956E-3</v>
      </c>
      <c r="K58" s="789">
        <f>+SUM(K52:K57)</f>
        <v>98.895283479911939</v>
      </c>
      <c r="L58" s="789">
        <f t="shared" si="16"/>
        <v>128.2824825161284</v>
      </c>
      <c r="M58" s="790">
        <f t="shared" si="17"/>
        <v>6.2138257167396738E-3</v>
      </c>
      <c r="N58" s="791">
        <f t="shared" ref="N58" si="21">+SUM(N52:N57)</f>
        <v>107.89216604326897</v>
      </c>
      <c r="O58" s="790">
        <f>+(N58/$K58)^(1/42)-1</f>
        <v>2.0752627179527749E-3</v>
      </c>
      <c r="P58" s="791">
        <f t="shared" ref="P58" si="22">+SUM(P52:P57)</f>
        <v>102.35801511953858</v>
      </c>
      <c r="Q58" s="790">
        <f>+(P58/$K58)^(1/42)-1</f>
        <v>8.197422868176929E-4</v>
      </c>
      <c r="R58" s="791">
        <f t="shared" ref="R58" si="23">+SUM(R52:R57)</f>
        <v>94.636169219499706</v>
      </c>
      <c r="S58" s="792">
        <f>+(R58/$K58)^(1/42)-1</f>
        <v>-1.0475891389092329E-3</v>
      </c>
      <c r="U58" s="544"/>
      <c r="V58" s="544"/>
    </row>
    <row r="59" spans="1:26" x14ac:dyDescent="0.25">
      <c r="A59" s="52"/>
      <c r="B59" s="416"/>
      <c r="C59" s="771">
        <f>C58/B58*100</f>
        <v>117.63984380388489</v>
      </c>
      <c r="D59" s="10"/>
      <c r="E59" s="416">
        <f>E58/B58*100</f>
        <v>101.49287480832494</v>
      </c>
      <c r="F59" s="130"/>
      <c r="G59" s="416">
        <f>G58/B58*100</f>
        <v>97.218197152423755</v>
      </c>
      <c r="H59" s="130"/>
      <c r="I59" s="416">
        <f>I58/B58*100</f>
        <v>91.510929950164353</v>
      </c>
      <c r="J59" s="130"/>
      <c r="K59" s="416"/>
      <c r="L59" s="416">
        <f>L58/K58*100</f>
        <v>129.71547075062051</v>
      </c>
      <c r="M59" s="130"/>
      <c r="N59" s="416">
        <f>N58/K58*100</f>
        <v>109.09738285464799</v>
      </c>
      <c r="O59" s="130"/>
      <c r="P59" s="416">
        <f>P58/K58*100</f>
        <v>103.50141231996166</v>
      </c>
      <c r="Q59" s="130"/>
      <c r="R59" s="416">
        <f>R58/K58*100</f>
        <v>95.693309012782834</v>
      </c>
      <c r="S59" s="130"/>
    </row>
    <row r="82" spans="1:1" x14ac:dyDescent="0.25">
      <c r="A82">
        <f>+'Res energi 2050'!A82</f>
        <v>2011</v>
      </c>
    </row>
    <row r="83" spans="1:1" x14ac:dyDescent="0.25">
      <c r="A83" t="str">
        <f>+'Res energi 2050'!A83</f>
        <v>Frozen</v>
      </c>
    </row>
    <row r="84" spans="1:1" x14ac:dyDescent="0.25">
      <c r="A84" t="str">
        <f>+'Res energi 2050'!A84</f>
        <v>Moderate</v>
      </c>
    </row>
    <row r="85" spans="1:1" x14ac:dyDescent="0.25">
      <c r="A85" t="str">
        <f>+'Res energi 2050'!A85</f>
        <v>Moderat store</v>
      </c>
    </row>
    <row r="86" spans="1:1" x14ac:dyDescent="0.25">
      <c r="A86" t="str">
        <f>+'Res energi 2050'!A86</f>
        <v>Meget store</v>
      </c>
    </row>
  </sheetData>
  <mergeCells count="17">
    <mergeCell ref="N50:O50"/>
    <mergeCell ref="P50:Q50"/>
    <mergeCell ref="R50:S50"/>
    <mergeCell ref="C50:D50"/>
    <mergeCell ref="E50:F50"/>
    <mergeCell ref="G50:H50"/>
    <mergeCell ref="I50:J50"/>
    <mergeCell ref="L50:M50"/>
    <mergeCell ref="U48:W48"/>
    <mergeCell ref="U49:W49"/>
    <mergeCell ref="X49:Z49"/>
    <mergeCell ref="J5:O5"/>
    <mergeCell ref="J16:O16"/>
    <mergeCell ref="J27:O27"/>
    <mergeCell ref="J38:O38"/>
    <mergeCell ref="B49:J49"/>
    <mergeCell ref="K49:S49"/>
  </mergeCells>
  <pageMargins left="0.70866141732283472" right="0.70866141732283472" top="0.36" bottom="0.38" header="0.31496062992125984" footer="0.31496062992125984"/>
  <pageSetup paperSize="9" scale="4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139"/>
  <sheetViews>
    <sheetView topLeftCell="A64" zoomScale="90" zoomScaleNormal="90" workbookViewId="0">
      <pane xSplit="1" topLeftCell="B1" activePane="topRight" state="frozen"/>
      <selection pane="topRight" activeCell="D82" sqref="D82"/>
    </sheetView>
  </sheetViews>
  <sheetFormatPr defaultRowHeight="15" x14ac:dyDescent="0.25"/>
  <cols>
    <col min="1" max="1" width="22.42578125" customWidth="1"/>
    <col min="3" max="3" width="8.140625" customWidth="1"/>
    <col min="4" max="4" width="7.85546875" customWidth="1"/>
    <col min="5" max="5" width="7.28515625" customWidth="1"/>
    <col min="6" max="6" width="9.28515625" customWidth="1"/>
    <col min="7" max="7" width="6.140625" customWidth="1"/>
    <col min="8" max="8" width="8.5703125" customWidth="1"/>
    <col min="9" max="9" width="7.7109375" customWidth="1"/>
    <col min="10" max="10" width="8.42578125" customWidth="1"/>
    <col min="11" max="11" width="8.140625" customWidth="1"/>
    <col min="12" max="12" width="8.28515625" customWidth="1"/>
    <col min="14" max="14" width="7.85546875" customWidth="1"/>
    <col min="15" max="15" width="8" customWidth="1"/>
    <col min="16" max="16" width="8.7109375" customWidth="1"/>
    <col min="17" max="17" width="10.42578125" customWidth="1"/>
    <col min="18" max="18" width="10.5703125" customWidth="1"/>
    <col min="19" max="19" width="8.42578125" customWidth="1"/>
    <col min="22" max="22" width="15" customWidth="1"/>
    <col min="23" max="23" width="10.5703125" customWidth="1"/>
  </cols>
  <sheetData>
    <row r="1" spans="1:21" ht="18.75" x14ac:dyDescent="0.3">
      <c r="A1" s="6" t="s">
        <v>346</v>
      </c>
      <c r="B1" s="6">
        <v>2050</v>
      </c>
    </row>
    <row r="2" spans="1:21" x14ac:dyDescent="0.25">
      <c r="A2" s="116" t="s">
        <v>374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</row>
    <row r="3" spans="1:21" ht="15.75" thickBot="1" x14ac:dyDescent="0.3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475" t="s">
        <v>136</v>
      </c>
      <c r="B4" s="476"/>
      <c r="C4" s="477"/>
      <c r="D4" s="477"/>
      <c r="E4" s="477"/>
      <c r="F4" s="477"/>
      <c r="G4" s="477"/>
      <c r="H4" s="477"/>
      <c r="I4" s="477"/>
      <c r="J4" s="477"/>
      <c r="K4" s="477"/>
      <c r="L4" s="477"/>
      <c r="M4" s="477"/>
      <c r="N4" s="477"/>
      <c r="O4" s="477"/>
      <c r="P4" s="476"/>
      <c r="Q4" s="477"/>
      <c r="R4" s="477"/>
      <c r="S4" s="477"/>
      <c r="T4" s="478"/>
    </row>
    <row r="5" spans="1:21" x14ac:dyDescent="0.25">
      <c r="A5" s="497" t="s">
        <v>0</v>
      </c>
      <c r="B5" s="410" t="s">
        <v>2</v>
      </c>
      <c r="C5" s="411" t="s">
        <v>139</v>
      </c>
      <c r="D5" s="411" t="s">
        <v>3</v>
      </c>
      <c r="E5" s="411" t="s">
        <v>140</v>
      </c>
      <c r="F5" s="411" t="s">
        <v>141</v>
      </c>
      <c r="G5" s="411" t="s">
        <v>4</v>
      </c>
      <c r="H5" s="411" t="s">
        <v>5</v>
      </c>
      <c r="I5" s="411" t="s">
        <v>6</v>
      </c>
      <c r="J5" s="1067" t="s">
        <v>7</v>
      </c>
      <c r="K5" s="1068"/>
      <c r="L5" s="1068"/>
      <c r="M5" s="1068"/>
      <c r="N5" s="1068"/>
      <c r="O5" s="1068"/>
      <c r="P5" s="412" t="s">
        <v>8</v>
      </c>
      <c r="Q5" s="413" t="s">
        <v>9</v>
      </c>
      <c r="R5" s="413" t="s">
        <v>10</v>
      </c>
      <c r="S5" s="498"/>
      <c r="T5" s="414" t="s">
        <v>34</v>
      </c>
    </row>
    <row r="6" spans="1:21" x14ac:dyDescent="0.25">
      <c r="A6" s="481" t="s">
        <v>1</v>
      </c>
      <c r="B6" s="238"/>
      <c r="C6" s="239"/>
      <c r="D6" s="239" t="s">
        <v>128</v>
      </c>
      <c r="E6" s="239"/>
      <c r="F6" s="239" t="s">
        <v>142</v>
      </c>
      <c r="G6" s="239"/>
      <c r="H6" s="239"/>
      <c r="I6" s="239"/>
      <c r="J6" s="482" t="s">
        <v>129</v>
      </c>
      <c r="K6" s="483" t="s">
        <v>130</v>
      </c>
      <c r="L6" s="483" t="s">
        <v>131</v>
      </c>
      <c r="M6" s="483" t="s">
        <v>132</v>
      </c>
      <c r="N6" s="483" t="s">
        <v>133</v>
      </c>
      <c r="O6" s="483" t="s">
        <v>134</v>
      </c>
      <c r="P6" s="302" t="s">
        <v>347</v>
      </c>
      <c r="Q6" s="303"/>
      <c r="R6" s="303"/>
      <c r="S6" s="499"/>
      <c r="T6" s="415"/>
    </row>
    <row r="7" spans="1:21" x14ac:dyDescent="0.25">
      <c r="A7" s="485" t="s">
        <v>106</v>
      </c>
      <c r="B7" s="486"/>
      <c r="C7" s="487"/>
      <c r="D7" s="487"/>
      <c r="E7" s="487"/>
      <c r="F7" s="487">
        <f>+Husholdninger!F92</f>
        <v>0.18884156518799999</v>
      </c>
      <c r="G7" s="487"/>
      <c r="H7" s="487"/>
      <c r="I7" s="487"/>
      <c r="J7" s="486"/>
      <c r="K7" s="487"/>
      <c r="L7" s="487"/>
      <c r="M7" s="487"/>
      <c r="N7" s="487"/>
      <c r="O7" s="487"/>
      <c r="P7" s="486">
        <f>+Husholdninger!P92</f>
        <v>74.236280486846084</v>
      </c>
      <c r="Q7" s="487">
        <f>+Husholdninger!Q92</f>
        <v>72.863711966685344</v>
      </c>
      <c r="R7" s="487">
        <f>+Husholdninger!R92</f>
        <v>43.61581202671811</v>
      </c>
      <c r="S7" s="500"/>
      <c r="T7" s="288">
        <f t="shared" ref="T7:T12" si="0">+SUM(B7:R7)</f>
        <v>190.90464604543754</v>
      </c>
    </row>
    <row r="8" spans="1:21" x14ac:dyDescent="0.25">
      <c r="A8" s="485" t="s">
        <v>103</v>
      </c>
      <c r="B8" s="487"/>
      <c r="C8" s="487">
        <f>+'H&amp;S'!C149</f>
        <v>0.17640434080870443</v>
      </c>
      <c r="D8" s="487"/>
      <c r="E8" s="487"/>
      <c r="F8" s="487"/>
      <c r="G8" s="487"/>
      <c r="H8" s="487"/>
      <c r="I8" s="981"/>
      <c r="J8" s="487">
        <f>+'H&amp;S'!J149</f>
        <v>0</v>
      </c>
      <c r="K8" s="487">
        <f>+'H&amp;S'!K149</f>
        <v>0</v>
      </c>
      <c r="L8" s="487">
        <f>+'H&amp;S'!L149</f>
        <v>2.0917591613082323</v>
      </c>
      <c r="M8" s="487">
        <f>+'H&amp;S'!M149</f>
        <v>2.3031033297179491</v>
      </c>
      <c r="N8" s="487">
        <f>+'H&amp;S'!N149</f>
        <v>0</v>
      </c>
      <c r="O8" s="981">
        <f>+'H&amp;S'!O149</f>
        <v>2.042687269440266</v>
      </c>
      <c r="P8" s="487">
        <f>+'H&amp;S'!P149</f>
        <v>10.404256215100787</v>
      </c>
      <c r="Q8" s="487">
        <f>+'H&amp;S'!Q149</f>
        <v>35.032365833986596</v>
      </c>
      <c r="R8" s="487">
        <f>+'H&amp;S'!R149</f>
        <v>51.143374765494883</v>
      </c>
      <c r="S8" s="500"/>
      <c r="T8" s="288">
        <f t="shared" si="0"/>
        <v>103.19395091585741</v>
      </c>
      <c r="U8" s="293">
        <f>+P8+Q8+R8</f>
        <v>96.579996814582273</v>
      </c>
    </row>
    <row r="9" spans="1:21" x14ac:dyDescent="0.25">
      <c r="A9" s="485" t="s">
        <v>102</v>
      </c>
      <c r="B9" s="487"/>
      <c r="C9" s="487"/>
      <c r="D9" s="487">
        <f>+Produktion!C81</f>
        <v>4.4664010576422424</v>
      </c>
      <c r="E9" s="487"/>
      <c r="F9" s="487"/>
      <c r="G9" s="487"/>
      <c r="H9" s="487"/>
      <c r="I9" s="981">
        <f>+Produktion!F81</f>
        <v>2.9288821531733467</v>
      </c>
      <c r="J9" s="487">
        <f>+Produktion!G81</f>
        <v>1.3685470971334333</v>
      </c>
      <c r="K9" s="487">
        <f>+Produktion!H81</f>
        <v>7.9534751131800769</v>
      </c>
      <c r="L9" s="487">
        <f>+Produktion!I81</f>
        <v>1.6525216775958116</v>
      </c>
      <c r="M9" s="487">
        <f>+Produktion!J81</f>
        <v>0</v>
      </c>
      <c r="N9" s="487">
        <f>+Produktion!K81</f>
        <v>0</v>
      </c>
      <c r="O9" s="981">
        <f>+Produktion!L81</f>
        <v>0</v>
      </c>
      <c r="P9" s="487">
        <f>+Produktion!M81</f>
        <v>0.27424105599716003</v>
      </c>
      <c r="Q9" s="487">
        <f>+Produktion!N81</f>
        <v>0</v>
      </c>
      <c r="R9" s="487">
        <f>+Produktion!O81</f>
        <v>8.5240386021329559</v>
      </c>
      <c r="S9" s="500"/>
      <c r="T9" s="288">
        <f t="shared" si="0"/>
        <v>27.168106756855025</v>
      </c>
    </row>
    <row r="10" spans="1:21" x14ac:dyDescent="0.25">
      <c r="A10" s="485" t="s">
        <v>31</v>
      </c>
      <c r="B10" s="486"/>
      <c r="C10" s="487"/>
      <c r="D10" s="487">
        <f>+Produktion!C82</f>
        <v>0.1430599838721138</v>
      </c>
      <c r="E10" s="487"/>
      <c r="F10" s="487"/>
      <c r="G10" s="487"/>
      <c r="H10" s="487"/>
      <c r="I10" s="487"/>
      <c r="J10" s="486">
        <f>+Produktion!G82</f>
        <v>1.1739800712935855</v>
      </c>
      <c r="K10" s="487">
        <f>+Produktion!H82</f>
        <v>1.7301553653811697</v>
      </c>
      <c r="L10" s="487">
        <f>+Produktion!I82</f>
        <v>8.183954809168851</v>
      </c>
      <c r="M10" s="487">
        <f>+Produktion!J82</f>
        <v>18.678630347076709</v>
      </c>
      <c r="N10" s="487">
        <f>+Produktion!K82</f>
        <v>5.7979558695454916</v>
      </c>
      <c r="O10" s="487">
        <f>+Produktion!L82</f>
        <v>27.137756534992285</v>
      </c>
      <c r="P10" s="486">
        <f>+Produktion!M82</f>
        <v>13.317169435073117</v>
      </c>
      <c r="Q10" s="487">
        <f>+Produktion!N82</f>
        <v>6.6985868302396741</v>
      </c>
      <c r="R10" s="487">
        <f>+Produktion!O82</f>
        <v>44.051580931467235</v>
      </c>
      <c r="S10" s="500"/>
      <c r="T10" s="288">
        <f t="shared" si="0"/>
        <v>126.91283017811023</v>
      </c>
      <c r="U10" s="293">
        <f>+T9+T10+T11</f>
        <v>159.91172301919426</v>
      </c>
    </row>
    <row r="11" spans="1:21" x14ac:dyDescent="0.25">
      <c r="A11" s="485" t="s">
        <v>32</v>
      </c>
      <c r="B11" s="486"/>
      <c r="C11" s="487"/>
      <c r="D11" s="487">
        <f>+Produktion!C83</f>
        <v>1.2157940639361728</v>
      </c>
      <c r="E11" s="487"/>
      <c r="F11" s="487"/>
      <c r="G11" s="487"/>
      <c r="H11" s="487"/>
      <c r="I11" s="487"/>
      <c r="J11" s="486">
        <f>+Produktion!G83</f>
        <v>1.0664860209966429</v>
      </c>
      <c r="K11" s="487">
        <f>+Produktion!H83</f>
        <v>1.0664860209966429</v>
      </c>
      <c r="L11" s="487">
        <f>+Produktion!I83</f>
        <v>0</v>
      </c>
      <c r="M11" s="487">
        <f>+Produktion!J83</f>
        <v>0</v>
      </c>
      <c r="N11" s="487">
        <f>+Produktion!K83</f>
        <v>0</v>
      </c>
      <c r="O11" s="487">
        <f>+Produktion!L83</f>
        <v>0</v>
      </c>
      <c r="P11" s="486">
        <f>+Produktion!M83</f>
        <v>0</v>
      </c>
      <c r="Q11" s="487">
        <f>+Produktion!N83</f>
        <v>0</v>
      </c>
      <c r="R11" s="487">
        <f>+Produktion!O83</f>
        <v>2.4820199782995358</v>
      </c>
      <c r="S11" s="500"/>
      <c r="T11" s="288">
        <f t="shared" si="0"/>
        <v>5.8307860842289942</v>
      </c>
    </row>
    <row r="12" spans="1:21" x14ac:dyDescent="0.25">
      <c r="A12" s="490" t="s">
        <v>35</v>
      </c>
      <c r="B12" s="491">
        <f>+Transport!B36</f>
        <v>28.182347225896514</v>
      </c>
      <c r="C12" s="492">
        <f>+Transport!C36</f>
        <v>12.372250338264326</v>
      </c>
      <c r="D12" s="492">
        <f>+Transport!D36</f>
        <v>11.466047621860749</v>
      </c>
      <c r="E12" s="492">
        <f>+Transport!E36</f>
        <v>2.439186644534844</v>
      </c>
      <c r="F12" s="492">
        <f>+Transport!F36</f>
        <v>0.28316840725065145</v>
      </c>
      <c r="G12" s="492">
        <f>+Transport!G36</f>
        <v>23.255947841139712</v>
      </c>
      <c r="H12" s="492">
        <f>+Transport!H36</f>
        <v>2.9457071121861533</v>
      </c>
      <c r="I12" s="492">
        <f>+Transport!R17</f>
        <v>2.3418942445853181</v>
      </c>
      <c r="J12" s="491"/>
      <c r="K12" s="492"/>
      <c r="L12" s="492"/>
      <c r="M12" s="492"/>
      <c r="N12" s="492"/>
      <c r="O12" s="492"/>
      <c r="P12" s="491"/>
      <c r="Q12" s="492"/>
      <c r="R12" s="492"/>
      <c r="S12" s="499"/>
      <c r="T12" s="289">
        <f t="shared" si="0"/>
        <v>83.286549435718271</v>
      </c>
    </row>
    <row r="13" spans="1:21" ht="15.75" thickBot="1" x14ac:dyDescent="0.3">
      <c r="A13" s="493" t="s">
        <v>33</v>
      </c>
      <c r="B13" s="494">
        <f t="shared" ref="B13:R13" si="1">SUM(B7:B12)</f>
        <v>28.182347225896514</v>
      </c>
      <c r="C13" s="495">
        <f t="shared" si="1"/>
        <v>12.54865467907303</v>
      </c>
      <c r="D13" s="495">
        <f t="shared" si="1"/>
        <v>17.291302727311276</v>
      </c>
      <c r="E13" s="495">
        <f t="shared" si="1"/>
        <v>2.439186644534844</v>
      </c>
      <c r="F13" s="495">
        <f t="shared" si="1"/>
        <v>0.47200997243865145</v>
      </c>
      <c r="G13" s="495">
        <f t="shared" si="1"/>
        <v>23.255947841139712</v>
      </c>
      <c r="H13" s="495">
        <f t="shared" si="1"/>
        <v>2.9457071121861533</v>
      </c>
      <c r="I13" s="495">
        <f t="shared" si="1"/>
        <v>5.2707763977586648</v>
      </c>
      <c r="J13" s="494">
        <f t="shared" si="1"/>
        <v>3.6090131894236617</v>
      </c>
      <c r="K13" s="495">
        <f t="shared" si="1"/>
        <v>10.75011649955789</v>
      </c>
      <c r="L13" s="495">
        <f t="shared" si="1"/>
        <v>11.928235648072896</v>
      </c>
      <c r="M13" s="495">
        <f t="shared" si="1"/>
        <v>20.981733676794658</v>
      </c>
      <c r="N13" s="495">
        <f t="shared" si="1"/>
        <v>5.7979558695454916</v>
      </c>
      <c r="O13" s="495">
        <f t="shared" si="1"/>
        <v>29.180443804432549</v>
      </c>
      <c r="P13" s="494">
        <f t="shared" si="1"/>
        <v>98.231947193017149</v>
      </c>
      <c r="Q13" s="495">
        <f t="shared" si="1"/>
        <v>114.59466463091162</v>
      </c>
      <c r="R13" s="495">
        <f t="shared" si="1"/>
        <v>149.81682630411274</v>
      </c>
      <c r="S13" s="501"/>
      <c r="T13" s="496">
        <f>+SUM(T7:T12)</f>
        <v>537.29686941620741</v>
      </c>
    </row>
    <row r="14" spans="1:21" ht="15.75" thickBot="1" x14ac:dyDescent="0.3">
      <c r="A14" s="502"/>
      <c r="B14" s="502"/>
      <c r="C14" s="502"/>
      <c r="D14" s="502"/>
      <c r="E14" s="502"/>
      <c r="F14" s="502"/>
      <c r="G14" s="502"/>
      <c r="H14" s="502"/>
      <c r="I14" s="502"/>
      <c r="J14" s="502"/>
      <c r="K14" s="502"/>
      <c r="L14" s="502"/>
      <c r="M14" s="502"/>
      <c r="N14" s="502"/>
      <c r="O14" s="502"/>
      <c r="P14" s="502"/>
      <c r="Q14" s="502"/>
      <c r="R14" s="502"/>
      <c r="S14" s="502"/>
      <c r="T14" s="502"/>
    </row>
    <row r="15" spans="1:21" x14ac:dyDescent="0.25">
      <c r="A15" s="475" t="s">
        <v>54</v>
      </c>
      <c r="B15" s="476"/>
      <c r="C15" s="477"/>
      <c r="D15" s="477"/>
      <c r="E15" s="477"/>
      <c r="F15" s="477"/>
      <c r="G15" s="477"/>
      <c r="H15" s="477"/>
      <c r="I15" s="477"/>
      <c r="J15" s="477"/>
      <c r="K15" s="477"/>
      <c r="L15" s="477"/>
      <c r="M15" s="477"/>
      <c r="N15" s="477"/>
      <c r="O15" s="477"/>
      <c r="P15" s="476"/>
      <c r="Q15" s="477"/>
      <c r="R15" s="477"/>
      <c r="S15" s="476"/>
      <c r="T15" s="478"/>
    </row>
    <row r="16" spans="1:21" x14ac:dyDescent="0.25">
      <c r="A16" s="479" t="s">
        <v>0</v>
      </c>
      <c r="B16" s="232" t="s">
        <v>2</v>
      </c>
      <c r="C16" s="233" t="s">
        <v>139</v>
      </c>
      <c r="D16" s="233" t="s">
        <v>3</v>
      </c>
      <c r="E16" s="233" t="s">
        <v>140</v>
      </c>
      <c r="F16" s="233" t="s">
        <v>141</v>
      </c>
      <c r="G16" s="233" t="s">
        <v>4</v>
      </c>
      <c r="H16" s="233" t="s">
        <v>5</v>
      </c>
      <c r="I16" s="233" t="s">
        <v>6</v>
      </c>
      <c r="J16" s="1067" t="s">
        <v>7</v>
      </c>
      <c r="K16" s="1068"/>
      <c r="L16" s="1068"/>
      <c r="M16" s="1068"/>
      <c r="N16" s="1068"/>
      <c r="O16" s="1068"/>
      <c r="P16" s="412" t="s">
        <v>8</v>
      </c>
      <c r="Q16" s="413" t="s">
        <v>9</v>
      </c>
      <c r="R16" s="301" t="s">
        <v>10</v>
      </c>
      <c r="S16" s="488"/>
      <c r="T16" s="252" t="s">
        <v>34</v>
      </c>
    </row>
    <row r="17" spans="1:21" x14ac:dyDescent="0.25">
      <c r="A17" s="481" t="s">
        <v>1</v>
      </c>
      <c r="B17" s="238"/>
      <c r="C17" s="239"/>
      <c r="D17" s="239" t="s">
        <v>128</v>
      </c>
      <c r="E17" s="239"/>
      <c r="F17" s="239" t="s">
        <v>142</v>
      </c>
      <c r="G17" s="239"/>
      <c r="H17" s="239"/>
      <c r="I17" s="239"/>
      <c r="J17" s="482" t="s">
        <v>129</v>
      </c>
      <c r="K17" s="483" t="s">
        <v>130</v>
      </c>
      <c r="L17" s="483" t="s">
        <v>131</v>
      </c>
      <c r="M17" s="483" t="s">
        <v>132</v>
      </c>
      <c r="N17" s="483" t="s">
        <v>133</v>
      </c>
      <c r="O17" s="483" t="s">
        <v>134</v>
      </c>
      <c r="P17" s="302" t="s">
        <v>347</v>
      </c>
      <c r="Q17" s="303"/>
      <c r="R17" s="303"/>
      <c r="S17" s="499"/>
      <c r="T17" s="415"/>
    </row>
    <row r="18" spans="1:21" x14ac:dyDescent="0.25">
      <c r="A18" s="485" t="s">
        <v>106</v>
      </c>
      <c r="B18" s="486"/>
      <c r="C18" s="487"/>
      <c r="D18" s="487"/>
      <c r="E18" s="487"/>
      <c r="F18" s="487">
        <f>+Husholdninger!F93</f>
        <v>0.18884156518799999</v>
      </c>
      <c r="G18" s="487"/>
      <c r="H18" s="487"/>
      <c r="I18" s="487"/>
      <c r="J18" s="486"/>
      <c r="K18" s="487"/>
      <c r="L18" s="487"/>
      <c r="M18" s="487"/>
      <c r="N18" s="487"/>
      <c r="O18" s="487"/>
      <c r="P18" s="486">
        <f>+Husholdninger!P93</f>
        <v>50.962851201815937</v>
      </c>
      <c r="Q18" s="487">
        <f>+Husholdninger!Q93</f>
        <v>51.219634839127181</v>
      </c>
      <c r="R18" s="487">
        <f>+Husholdninger!R93</f>
        <v>28.756128710033501</v>
      </c>
      <c r="S18" s="488"/>
      <c r="T18" s="288">
        <f t="shared" ref="T18:T23" si="2">+SUM(B18:R18)</f>
        <v>131.12745631616463</v>
      </c>
    </row>
    <row r="19" spans="1:21" x14ac:dyDescent="0.25">
      <c r="A19" s="485" t="s">
        <v>103</v>
      </c>
      <c r="B19" s="487"/>
      <c r="C19" s="487">
        <f>+'H&amp;S'!C150</f>
        <v>0.17299693445083575</v>
      </c>
      <c r="D19" s="487"/>
      <c r="E19" s="487"/>
      <c r="F19" s="487"/>
      <c r="G19" s="487"/>
      <c r="H19" s="487"/>
      <c r="I19" s="981"/>
      <c r="J19" s="487">
        <f>+'H&amp;S'!J150</f>
        <v>0</v>
      </c>
      <c r="K19" s="487">
        <f>+'H&amp;S'!K150</f>
        <v>0</v>
      </c>
      <c r="L19" s="487">
        <f>+'H&amp;S'!L150</f>
        <v>1.7203302613387346</v>
      </c>
      <c r="M19" s="487">
        <f>+'H&amp;S'!M150</f>
        <v>1.8941465281432333</v>
      </c>
      <c r="N19" s="487">
        <f>+'H&amp;S'!N150</f>
        <v>0</v>
      </c>
      <c r="O19" s="981">
        <f>+'H&amp;S'!O150</f>
        <v>1.6799719533063673</v>
      </c>
      <c r="P19" s="487">
        <f>+'H&amp;S'!P150</f>
        <v>8.5509306144157975</v>
      </c>
      <c r="Q19" s="487">
        <f>+'H&amp;S'!Q150</f>
        <v>28.652242704549337</v>
      </c>
      <c r="R19" s="487">
        <f>+'H&amp;S'!R150</f>
        <v>38.018492642147578</v>
      </c>
      <c r="S19" s="226"/>
      <c r="T19" s="288">
        <f t="shared" si="2"/>
        <v>80.689111638351875</v>
      </c>
      <c r="U19" s="293">
        <f>+P19+Q19+R19</f>
        <v>75.221665961112706</v>
      </c>
    </row>
    <row r="20" spans="1:21" x14ac:dyDescent="0.25">
      <c r="A20" s="485" t="s">
        <v>102</v>
      </c>
      <c r="B20" s="486"/>
      <c r="C20" s="487"/>
      <c r="D20" s="487">
        <f>+Produktion!C85</f>
        <v>4.4226461579055805</v>
      </c>
      <c r="E20" s="487"/>
      <c r="F20" s="487"/>
      <c r="G20" s="489"/>
      <c r="H20" s="489"/>
      <c r="I20" s="487">
        <f>+Produktion!F85</f>
        <v>2.9001894891472801</v>
      </c>
      <c r="J20" s="486">
        <f>+Produktion!G85</f>
        <v>1.2576421662129831</v>
      </c>
      <c r="K20" s="487">
        <f>+Produktion!H85</f>
        <v>7.308937844530452</v>
      </c>
      <c r="L20" s="487">
        <f>+Produktion!I85</f>
        <v>1.5186038877863164</v>
      </c>
      <c r="M20" s="487"/>
      <c r="N20" s="487"/>
      <c r="O20" s="487"/>
      <c r="P20" s="486">
        <f>+Produktion!M85</f>
        <v>0.22175876090865149</v>
      </c>
      <c r="Q20" s="487">
        <f>+Produktion!N85</f>
        <v>0</v>
      </c>
      <c r="R20" s="487">
        <f>+Produktion!O85</f>
        <v>7.0880572764549923</v>
      </c>
      <c r="S20" s="488"/>
      <c r="T20" s="288">
        <f t="shared" si="2"/>
        <v>24.717835582946257</v>
      </c>
    </row>
    <row r="21" spans="1:21" x14ac:dyDescent="0.25">
      <c r="A21" s="485" t="s">
        <v>31</v>
      </c>
      <c r="B21" s="486"/>
      <c r="C21" s="487"/>
      <c r="D21" s="487">
        <f>+Produktion!C86</f>
        <v>0.14024364815843837</v>
      </c>
      <c r="E21" s="487"/>
      <c r="F21" s="487"/>
      <c r="G21" s="489"/>
      <c r="H21" s="489"/>
      <c r="I21" s="489"/>
      <c r="J21" s="486">
        <f>+Produktion!G86</f>
        <v>0.92190232688014417</v>
      </c>
      <c r="K21" s="487">
        <f>+Produktion!H86</f>
        <v>1.3586553095841989</v>
      </c>
      <c r="L21" s="487">
        <f>+Produktion!I86</f>
        <v>6.4266908494802948</v>
      </c>
      <c r="M21" s="487">
        <f>+Produktion!J86</f>
        <v>14.667943009398664</v>
      </c>
      <c r="N21" s="487">
        <f>+Produktion!K86</f>
        <v>4.5530151132741663</v>
      </c>
      <c r="O21" s="487">
        <f>+Produktion!L86</f>
        <v>21.310720264909595</v>
      </c>
      <c r="P21" s="486">
        <f>+Produktion!M86</f>
        <v>10.457698379941931</v>
      </c>
      <c r="Q21" s="487">
        <f>+Produktion!N86</f>
        <v>5.2602620237003217</v>
      </c>
      <c r="R21" s="487">
        <f>+Produktion!O86</f>
        <v>33.544661878272784</v>
      </c>
      <c r="S21" s="488"/>
      <c r="T21" s="288">
        <f t="shared" si="2"/>
        <v>98.641792803600538</v>
      </c>
      <c r="U21" s="293">
        <f>+T20+T21+T22</f>
        <v>128.11649022898425</v>
      </c>
    </row>
    <row r="22" spans="1:21" x14ac:dyDescent="0.25">
      <c r="A22" s="485" t="s">
        <v>32</v>
      </c>
      <c r="B22" s="486"/>
      <c r="C22" s="487"/>
      <c r="D22" s="487">
        <f>+Produktion!C87</f>
        <v>1.1918594586743763</v>
      </c>
      <c r="E22" s="487"/>
      <c r="F22" s="487"/>
      <c r="G22" s="489"/>
      <c r="H22" s="489"/>
      <c r="I22" s="489"/>
      <c r="J22" s="486">
        <f>+Produktion!G87</f>
        <v>0.8374894671411135</v>
      </c>
      <c r="K22" s="487">
        <f>+Produktion!H87</f>
        <v>0.8374894671411135</v>
      </c>
      <c r="L22" s="487"/>
      <c r="M22" s="487"/>
      <c r="N22" s="487"/>
      <c r="O22" s="487"/>
      <c r="P22" s="486">
        <f>+Produktion!M87</f>
        <v>0</v>
      </c>
      <c r="Q22" s="487">
        <f>+Produktion!N87</f>
        <v>0</v>
      </c>
      <c r="R22" s="487">
        <f>+Produktion!O87</f>
        <v>1.890023449480835</v>
      </c>
      <c r="S22" s="488"/>
      <c r="T22" s="288">
        <f t="shared" si="2"/>
        <v>4.7568618424374378</v>
      </c>
    </row>
    <row r="23" spans="1:21" x14ac:dyDescent="0.25">
      <c r="A23" s="490" t="s">
        <v>35</v>
      </c>
      <c r="B23" s="492">
        <f>+Transport!B37</f>
        <v>25.909432042883306</v>
      </c>
      <c r="C23" s="492">
        <f>+Transport!C37</f>
        <v>12.181479090184668</v>
      </c>
      <c r="D23" s="492">
        <f>+Transport!D37</f>
        <v>11.294582972989406</v>
      </c>
      <c r="E23" s="492">
        <f>+Transport!E37</f>
        <v>2.4011799122806337</v>
      </c>
      <c r="F23" s="492">
        <f>+Transport!F37</f>
        <v>0.27880775973011213</v>
      </c>
      <c r="G23" s="492">
        <f>+Transport!G37</f>
        <v>18.839602002713203</v>
      </c>
      <c r="H23" s="492">
        <f>+Transport!H37</f>
        <v>2.9213381199647523</v>
      </c>
      <c r="I23" s="982">
        <f>+Transport!I37</f>
        <v>2.3418942445853181</v>
      </c>
      <c r="J23" s="491"/>
      <c r="K23" s="492"/>
      <c r="L23" s="492"/>
      <c r="M23" s="492"/>
      <c r="N23" s="492"/>
      <c r="O23" s="492"/>
      <c r="P23" s="491"/>
      <c r="Q23" s="492"/>
      <c r="R23" s="492"/>
      <c r="S23" s="484"/>
      <c r="T23" s="289">
        <f t="shared" si="2"/>
        <v>76.168316145331403</v>
      </c>
      <c r="U23" s="293">
        <f>+T12-T23</f>
        <v>7.1182332903868684</v>
      </c>
    </row>
    <row r="24" spans="1:21" ht="15.75" thickBot="1" x14ac:dyDescent="0.3">
      <c r="A24" s="493" t="s">
        <v>33</v>
      </c>
      <c r="B24" s="494">
        <f t="shared" ref="B24:R24" si="3">SUM(B18:B23)</f>
        <v>25.909432042883306</v>
      </c>
      <c r="C24" s="495">
        <f t="shared" si="3"/>
        <v>12.354476024635504</v>
      </c>
      <c r="D24" s="495">
        <f t="shared" si="3"/>
        <v>17.049332237727803</v>
      </c>
      <c r="E24" s="495">
        <f t="shared" si="3"/>
        <v>2.4011799122806337</v>
      </c>
      <c r="F24" s="495">
        <f t="shared" si="3"/>
        <v>0.46764932491811212</v>
      </c>
      <c r="G24" s="495">
        <f t="shared" si="3"/>
        <v>18.839602002713203</v>
      </c>
      <c r="H24" s="495">
        <f t="shared" si="3"/>
        <v>2.9213381199647523</v>
      </c>
      <c r="I24" s="495">
        <f t="shared" si="3"/>
        <v>5.2420837337325983</v>
      </c>
      <c r="J24" s="494">
        <f t="shared" si="3"/>
        <v>3.0170339602342406</v>
      </c>
      <c r="K24" s="495">
        <f t="shared" si="3"/>
        <v>9.5050826212557649</v>
      </c>
      <c r="L24" s="495">
        <f t="shared" si="3"/>
        <v>9.6656249986053453</v>
      </c>
      <c r="M24" s="495">
        <f t="shared" si="3"/>
        <v>16.562089537541897</v>
      </c>
      <c r="N24" s="495">
        <f t="shared" si="3"/>
        <v>4.5530151132741663</v>
      </c>
      <c r="O24" s="495">
        <f t="shared" si="3"/>
        <v>22.990692218215962</v>
      </c>
      <c r="P24" s="494">
        <f t="shared" si="3"/>
        <v>70.193238957082315</v>
      </c>
      <c r="Q24" s="495">
        <f t="shared" si="3"/>
        <v>85.132139567376839</v>
      </c>
      <c r="R24" s="495">
        <f t="shared" si="3"/>
        <v>109.29736395638967</v>
      </c>
      <c r="S24" s="503"/>
      <c r="T24" s="496">
        <f>+SUM(T18:T23)</f>
        <v>416.10137432883215</v>
      </c>
      <c r="U24" s="293">
        <f>+T13-T24</f>
        <v>121.19549508737526</v>
      </c>
    </row>
    <row r="25" spans="1:21" ht="15.75" thickBot="1" x14ac:dyDescent="0.3">
      <c r="A25" s="502"/>
      <c r="B25" s="502"/>
      <c r="C25" s="502"/>
      <c r="D25" s="502"/>
      <c r="E25" s="502"/>
      <c r="F25" s="502"/>
      <c r="G25" s="502"/>
      <c r="H25" s="502"/>
      <c r="I25" s="502"/>
      <c r="J25" s="502"/>
      <c r="K25" s="502"/>
      <c r="L25" s="502"/>
      <c r="M25" s="502"/>
      <c r="N25" s="502"/>
      <c r="O25" s="502"/>
      <c r="P25" s="502"/>
      <c r="Q25" s="502"/>
      <c r="R25" s="502"/>
      <c r="S25" s="502"/>
      <c r="T25" s="502"/>
      <c r="U25" s="293">
        <f>+U24-U23</f>
        <v>114.0772617969884</v>
      </c>
    </row>
    <row r="26" spans="1:21" x14ac:dyDescent="0.25">
      <c r="A26" s="475" t="s">
        <v>104</v>
      </c>
      <c r="B26" s="476"/>
      <c r="C26" s="477"/>
      <c r="D26" s="477"/>
      <c r="E26" s="477"/>
      <c r="F26" s="477"/>
      <c r="G26" s="477"/>
      <c r="H26" s="477"/>
      <c r="I26" s="477"/>
      <c r="J26" s="477"/>
      <c r="K26" s="477"/>
      <c r="L26" s="477"/>
      <c r="M26" s="477"/>
      <c r="N26" s="477"/>
      <c r="O26" s="477"/>
      <c r="P26" s="477"/>
      <c r="Q26" s="477"/>
      <c r="R26" s="477"/>
      <c r="S26" s="477"/>
      <c r="T26" s="478"/>
    </row>
    <row r="27" spans="1:21" x14ac:dyDescent="0.25">
      <c r="A27" s="479" t="s">
        <v>0</v>
      </c>
      <c r="B27" s="232" t="s">
        <v>2</v>
      </c>
      <c r="C27" s="233" t="s">
        <v>139</v>
      </c>
      <c r="D27" s="233" t="s">
        <v>3</v>
      </c>
      <c r="E27" s="233" t="s">
        <v>140</v>
      </c>
      <c r="F27" s="233" t="s">
        <v>141</v>
      </c>
      <c r="G27" s="233" t="s">
        <v>4</v>
      </c>
      <c r="H27" s="233" t="s">
        <v>5</v>
      </c>
      <c r="I27" s="233" t="s">
        <v>6</v>
      </c>
      <c r="J27" s="1067" t="s">
        <v>7</v>
      </c>
      <c r="K27" s="1068"/>
      <c r="L27" s="1068"/>
      <c r="M27" s="1068"/>
      <c r="N27" s="1068"/>
      <c r="O27" s="1068"/>
      <c r="P27" s="412" t="s">
        <v>8</v>
      </c>
      <c r="Q27" s="301" t="s">
        <v>9</v>
      </c>
      <c r="R27" s="301" t="s">
        <v>10</v>
      </c>
      <c r="S27" s="480"/>
      <c r="T27" s="414" t="s">
        <v>34</v>
      </c>
    </row>
    <row r="28" spans="1:21" x14ac:dyDescent="0.25">
      <c r="A28" s="481" t="s">
        <v>1</v>
      </c>
      <c r="B28" s="238"/>
      <c r="C28" s="239"/>
      <c r="D28" s="239" t="s">
        <v>128</v>
      </c>
      <c r="E28" s="239"/>
      <c r="F28" s="239" t="s">
        <v>142</v>
      </c>
      <c r="G28" s="239"/>
      <c r="H28" s="239"/>
      <c r="I28" s="239"/>
      <c r="J28" s="482" t="s">
        <v>129</v>
      </c>
      <c r="K28" s="483" t="s">
        <v>130</v>
      </c>
      <c r="L28" s="483" t="s">
        <v>131</v>
      </c>
      <c r="M28" s="483" t="s">
        <v>132</v>
      </c>
      <c r="N28" s="483" t="s">
        <v>133</v>
      </c>
      <c r="O28" s="483" t="s">
        <v>134</v>
      </c>
      <c r="P28" s="302" t="s">
        <v>347</v>
      </c>
      <c r="Q28" s="303"/>
      <c r="R28" s="303"/>
      <c r="S28" s="484"/>
      <c r="T28" s="415"/>
    </row>
    <row r="29" spans="1:21" x14ac:dyDescent="0.25">
      <c r="A29" s="485" t="s">
        <v>106</v>
      </c>
      <c r="B29" s="486"/>
      <c r="C29" s="487"/>
      <c r="D29" s="487"/>
      <c r="E29" s="487"/>
      <c r="F29" s="487">
        <f>+Husholdninger!F94</f>
        <v>0.18884156518799999</v>
      </c>
      <c r="G29" s="487"/>
      <c r="H29" s="487"/>
      <c r="I29" s="487"/>
      <c r="J29" s="486"/>
      <c r="K29" s="487"/>
      <c r="L29" s="487"/>
      <c r="M29" s="487"/>
      <c r="N29" s="487"/>
      <c r="O29" s="487"/>
      <c r="P29" s="486">
        <f>+Husholdninger!P94</f>
        <v>46.286654385320205</v>
      </c>
      <c r="Q29" s="487">
        <f>+Husholdninger!Q94</f>
        <v>46.309534640540818</v>
      </c>
      <c r="R29" s="487">
        <f>+Husholdninger!R94</f>
        <v>24.069761266802349</v>
      </c>
      <c r="S29" s="488"/>
      <c r="T29" s="288">
        <f t="shared" ref="T29:T34" si="4">+SUM(B29:R29)</f>
        <v>116.85479185785137</v>
      </c>
    </row>
    <row r="30" spans="1:21" x14ac:dyDescent="0.25">
      <c r="A30" s="485" t="s">
        <v>103</v>
      </c>
      <c r="B30" s="487"/>
      <c r="C30" s="487">
        <f>+'H&amp;S'!C151</f>
        <v>0.17299693445083575</v>
      </c>
      <c r="D30" s="487"/>
      <c r="E30" s="487"/>
      <c r="F30" s="487"/>
      <c r="G30" s="487"/>
      <c r="H30" s="487"/>
      <c r="I30" s="981"/>
      <c r="J30" s="487">
        <f>+'H&amp;S'!J151</f>
        <v>0</v>
      </c>
      <c r="K30" s="487">
        <f>+'H&amp;S'!K151</f>
        <v>0</v>
      </c>
      <c r="L30" s="487">
        <f>+'H&amp;S'!L151</f>
        <v>1.4491009321602051</v>
      </c>
      <c r="M30" s="487">
        <f>+'H&amp;S'!M151</f>
        <v>1.6026481313553624</v>
      </c>
      <c r="N30" s="487">
        <f>+'H&amp;S'!N151</f>
        <v>0</v>
      </c>
      <c r="O30" s="487">
        <f>+'H&amp;S'!O151</f>
        <v>1.4210942912209261</v>
      </c>
      <c r="P30" s="487">
        <f>+'H&amp;S'!P151</f>
        <v>7.705658835527629</v>
      </c>
      <c r="Q30" s="487">
        <f>+'H&amp;S'!Q151</f>
        <v>25.742371915977827</v>
      </c>
      <c r="R30" s="487">
        <f>+'H&amp;S'!R151</f>
        <v>34.172985035436739</v>
      </c>
      <c r="S30" s="488"/>
      <c r="T30" s="288">
        <f t="shared" si="4"/>
        <v>72.266856076129528</v>
      </c>
      <c r="U30" s="293">
        <f>+P30+Q30+R30</f>
        <v>67.621015786942195</v>
      </c>
    </row>
    <row r="31" spans="1:21" x14ac:dyDescent="0.25">
      <c r="A31" s="485" t="s">
        <v>102</v>
      </c>
      <c r="B31" s="487"/>
      <c r="C31" s="487"/>
      <c r="D31" s="487">
        <f>+Produktion!C89</f>
        <v>4.4226461579055805</v>
      </c>
      <c r="E31" s="487"/>
      <c r="F31" s="487"/>
      <c r="G31" s="487"/>
      <c r="H31" s="487"/>
      <c r="I31" s="487">
        <f>+Produktion!F89</f>
        <v>2.9001894891472801</v>
      </c>
      <c r="J31" s="486">
        <f>+Produktion!G89</f>
        <v>1.0746917977084338</v>
      </c>
      <c r="K31" s="487">
        <f>+Produktion!H89</f>
        <v>6.2456998997816751</v>
      </c>
      <c r="L31" s="487">
        <f>+Produktion!I89</f>
        <v>1.2976911764070949</v>
      </c>
      <c r="M31" s="487">
        <f>+Produktion!J89</f>
        <v>0</v>
      </c>
      <c r="N31" s="487">
        <f>+Produktion!K89</f>
        <v>0</v>
      </c>
      <c r="O31" s="487">
        <f>+Produktion!L89</f>
        <v>0</v>
      </c>
      <c r="P31" s="486">
        <f>+Produktion!M89</f>
        <v>0.19540475878081434</v>
      </c>
      <c r="Q31" s="487">
        <f>+Produktion!N89</f>
        <v>0</v>
      </c>
      <c r="R31" s="487">
        <f>+Produktion!O89</f>
        <v>6.0736263606911907</v>
      </c>
      <c r="S31" s="488"/>
      <c r="T31" s="288">
        <f t="shared" si="4"/>
        <v>22.209949640422071</v>
      </c>
    </row>
    <row r="32" spans="1:21" x14ac:dyDescent="0.25">
      <c r="A32" s="485" t="s">
        <v>31</v>
      </c>
      <c r="B32" s="486"/>
      <c r="C32" s="487"/>
      <c r="D32" s="487">
        <f>+Produktion!C90</f>
        <v>0.14024364815843837</v>
      </c>
      <c r="E32" s="487"/>
      <c r="F32" s="487"/>
      <c r="G32" s="489"/>
      <c r="H32" s="489"/>
      <c r="I32" s="489"/>
      <c r="J32" s="486">
        <f>+Produktion!G90</f>
        <v>0.83649507478188068</v>
      </c>
      <c r="K32" s="487">
        <f>+Produktion!H90</f>
        <v>1.2327862091850326</v>
      </c>
      <c r="L32" s="487">
        <f>+Produktion!I90</f>
        <v>5.8313067295630798</v>
      </c>
      <c r="M32" s="487">
        <f>+Produktion!J90</f>
        <v>13.309069439129932</v>
      </c>
      <c r="N32" s="487">
        <f>+Produktion!K90</f>
        <v>4.131212826580116</v>
      </c>
      <c r="O32" s="487">
        <f>+Produktion!L90</f>
        <v>19.336443809593376</v>
      </c>
      <c r="P32" s="486">
        <f>+Produktion!M90</f>
        <v>9.4888720131337454</v>
      </c>
      <c r="Q32" s="487">
        <f>+Produktion!N90</f>
        <v>4.7729386797171545</v>
      </c>
      <c r="R32" s="487">
        <f>+Produktion!O90</f>
        <v>31.388037485955483</v>
      </c>
      <c r="S32" s="488"/>
      <c r="T32" s="288">
        <f t="shared" si="4"/>
        <v>90.467405915798238</v>
      </c>
      <c r="U32" s="293">
        <f>+T31+T32+T33</f>
        <v>117.15753156261844</v>
      </c>
    </row>
    <row r="33" spans="1:22" x14ac:dyDescent="0.25">
      <c r="A33" s="485" t="s">
        <v>32</v>
      </c>
      <c r="B33" s="486"/>
      <c r="C33" s="487"/>
      <c r="D33" s="487">
        <f>+Produktion!C91</f>
        <v>1.1918594586743763</v>
      </c>
      <c r="E33" s="487"/>
      <c r="F33" s="487"/>
      <c r="G33" s="489"/>
      <c r="H33" s="489"/>
      <c r="I33" s="489"/>
      <c r="J33" s="486">
        <f>+Produktion!G91</f>
        <v>0.75990242568974653</v>
      </c>
      <c r="K33" s="487">
        <f>+Produktion!H91</f>
        <v>0.75990242568974653</v>
      </c>
      <c r="L33" s="487">
        <f>+Produktion!I91</f>
        <v>0</v>
      </c>
      <c r="M33" s="487">
        <f>+Produktion!J91</f>
        <v>0</v>
      </c>
      <c r="N33" s="487">
        <f>+Produktion!K91</f>
        <v>0</v>
      </c>
      <c r="O33" s="487">
        <f>+Produktion!L91</f>
        <v>0</v>
      </c>
      <c r="P33" s="486">
        <f>+Produktion!M91</f>
        <v>0</v>
      </c>
      <c r="Q33" s="487">
        <f>+Produktion!N91</f>
        <v>0</v>
      </c>
      <c r="R33" s="487">
        <f>+Produktion!O91</f>
        <v>1.7685116963442751</v>
      </c>
      <c r="S33" s="488"/>
      <c r="T33" s="288">
        <f t="shared" si="4"/>
        <v>4.4801760063981444</v>
      </c>
    </row>
    <row r="34" spans="1:22" x14ac:dyDescent="0.25">
      <c r="A34" s="490" t="s">
        <v>35</v>
      </c>
      <c r="B34" s="492">
        <f>+Transport!B38</f>
        <v>25.909432042883306</v>
      </c>
      <c r="C34" s="492">
        <f>+Transport!C38</f>
        <v>12.181479090184668</v>
      </c>
      <c r="D34" s="492">
        <f>+Transport!D38</f>
        <v>11.294582972989406</v>
      </c>
      <c r="E34" s="492">
        <f>+Transport!E38</f>
        <v>2.4011799122806337</v>
      </c>
      <c r="F34" s="492">
        <f>+Transport!F38</f>
        <v>0.27880775973011213</v>
      </c>
      <c r="G34" s="492">
        <f>+Transport!G38</f>
        <v>18.839602002713203</v>
      </c>
      <c r="H34" s="492">
        <f>+Transport!H38</f>
        <v>2.9213381199647523</v>
      </c>
      <c r="I34" s="982">
        <f>+Transport!I38</f>
        <v>2.3418942445853181</v>
      </c>
      <c r="J34" s="491"/>
      <c r="K34" s="492"/>
      <c r="L34" s="492"/>
      <c r="M34" s="492"/>
      <c r="N34" s="492"/>
      <c r="O34" s="492"/>
      <c r="P34" s="491"/>
      <c r="Q34" s="492"/>
      <c r="R34" s="492"/>
      <c r="S34" s="484"/>
      <c r="T34" s="289">
        <f t="shared" si="4"/>
        <v>76.168316145331403</v>
      </c>
    </row>
    <row r="35" spans="1:22" ht="15.75" thickBot="1" x14ac:dyDescent="0.3">
      <c r="A35" s="493" t="s">
        <v>33</v>
      </c>
      <c r="B35" s="494">
        <f t="shared" ref="B35:R35" si="5">SUM(B29:B34)</f>
        <v>25.909432042883306</v>
      </c>
      <c r="C35" s="495">
        <f t="shared" si="5"/>
        <v>12.354476024635504</v>
      </c>
      <c r="D35" s="495">
        <f t="shared" si="5"/>
        <v>17.049332237727803</v>
      </c>
      <c r="E35" s="495">
        <f t="shared" si="5"/>
        <v>2.4011799122806337</v>
      </c>
      <c r="F35" s="495">
        <f t="shared" si="5"/>
        <v>0.46764932491811212</v>
      </c>
      <c r="G35" s="495">
        <f t="shared" si="5"/>
        <v>18.839602002713203</v>
      </c>
      <c r="H35" s="495">
        <f t="shared" si="5"/>
        <v>2.9213381199647523</v>
      </c>
      <c r="I35" s="495">
        <f t="shared" si="5"/>
        <v>5.2420837337325983</v>
      </c>
      <c r="J35" s="494">
        <f t="shared" si="5"/>
        <v>2.6710892981800609</v>
      </c>
      <c r="K35" s="495">
        <f t="shared" si="5"/>
        <v>8.2383885346564547</v>
      </c>
      <c r="L35" s="495">
        <f t="shared" si="5"/>
        <v>8.57809883813038</v>
      </c>
      <c r="M35" s="495">
        <f t="shared" si="5"/>
        <v>14.911717570485294</v>
      </c>
      <c r="N35" s="495">
        <f t="shared" si="5"/>
        <v>4.131212826580116</v>
      </c>
      <c r="O35" s="495">
        <f t="shared" si="5"/>
        <v>20.757538100814301</v>
      </c>
      <c r="P35" s="495">
        <f t="shared" si="5"/>
        <v>63.676589992762395</v>
      </c>
      <c r="Q35" s="495">
        <f t="shared" si="5"/>
        <v>76.824845236235802</v>
      </c>
      <c r="R35" s="495">
        <f t="shared" si="5"/>
        <v>97.472921845230033</v>
      </c>
      <c r="S35" s="504"/>
      <c r="T35" s="496">
        <f>+SUM(T29:T34)</f>
        <v>382.4474956419308</v>
      </c>
      <c r="U35" s="293">
        <f>+T13-T35</f>
        <v>154.84937377427661</v>
      </c>
    </row>
    <row r="36" spans="1:22" ht="15.75" thickBot="1" x14ac:dyDescent="0.3">
      <c r="A36" s="502"/>
      <c r="B36" s="502"/>
      <c r="C36" s="502"/>
      <c r="D36" s="502"/>
      <c r="E36" s="502"/>
      <c r="F36" s="502"/>
      <c r="G36" s="502"/>
      <c r="H36" s="502"/>
      <c r="I36" s="502"/>
      <c r="J36" s="502"/>
      <c r="K36" s="502"/>
      <c r="L36" s="502"/>
      <c r="M36" s="502"/>
      <c r="N36" s="502"/>
      <c r="O36" s="502"/>
      <c r="P36" s="502"/>
      <c r="Q36" s="502"/>
      <c r="R36" s="502"/>
      <c r="S36" s="502"/>
      <c r="T36" s="502"/>
      <c r="U36" s="293">
        <f>+U35-U23</f>
        <v>147.73114048388976</v>
      </c>
    </row>
    <row r="37" spans="1:22" x14ac:dyDescent="0.25">
      <c r="A37" s="475" t="s">
        <v>105</v>
      </c>
      <c r="B37" s="476"/>
      <c r="C37" s="477"/>
      <c r="D37" s="477"/>
      <c r="E37" s="477"/>
      <c r="F37" s="477"/>
      <c r="G37" s="477"/>
      <c r="H37" s="477"/>
      <c r="I37" s="477"/>
      <c r="J37" s="477"/>
      <c r="K37" s="477"/>
      <c r="L37" s="477"/>
      <c r="M37" s="477"/>
      <c r="N37" s="477"/>
      <c r="O37" s="477"/>
      <c r="P37" s="477"/>
      <c r="Q37" s="477"/>
      <c r="R37" s="477"/>
      <c r="S37" s="477"/>
      <c r="T37" s="478"/>
    </row>
    <row r="38" spans="1:22" x14ac:dyDescent="0.25">
      <c r="A38" s="479" t="s">
        <v>0</v>
      </c>
      <c r="B38" s="232" t="s">
        <v>2</v>
      </c>
      <c r="C38" s="233" t="s">
        <v>139</v>
      </c>
      <c r="D38" s="233" t="s">
        <v>3</v>
      </c>
      <c r="E38" s="233" t="s">
        <v>140</v>
      </c>
      <c r="F38" s="233" t="s">
        <v>141</v>
      </c>
      <c r="G38" s="233" t="s">
        <v>4</v>
      </c>
      <c r="H38" s="233" t="s">
        <v>5</v>
      </c>
      <c r="I38" s="233" t="s">
        <v>6</v>
      </c>
      <c r="J38" s="1067" t="s">
        <v>7</v>
      </c>
      <c r="K38" s="1068"/>
      <c r="L38" s="1068"/>
      <c r="M38" s="1068"/>
      <c r="N38" s="1068"/>
      <c r="O38" s="1068"/>
      <c r="P38" s="412" t="s">
        <v>8</v>
      </c>
      <c r="Q38" s="413" t="s">
        <v>9</v>
      </c>
      <c r="R38" s="301" t="s">
        <v>10</v>
      </c>
      <c r="S38" s="480"/>
      <c r="T38" s="414" t="s">
        <v>34</v>
      </c>
    </row>
    <row r="39" spans="1:22" x14ac:dyDescent="0.25">
      <c r="A39" s="481" t="s">
        <v>1</v>
      </c>
      <c r="B39" s="238"/>
      <c r="C39" s="239"/>
      <c r="D39" s="239" t="s">
        <v>128</v>
      </c>
      <c r="E39" s="239"/>
      <c r="F39" s="239" t="s">
        <v>142</v>
      </c>
      <c r="G39" s="239"/>
      <c r="H39" s="239"/>
      <c r="I39" s="239"/>
      <c r="J39" s="482" t="s">
        <v>129</v>
      </c>
      <c r="K39" s="483" t="s">
        <v>130</v>
      </c>
      <c r="L39" s="483" t="s">
        <v>131</v>
      </c>
      <c r="M39" s="483" t="s">
        <v>132</v>
      </c>
      <c r="N39" s="483" t="s">
        <v>133</v>
      </c>
      <c r="O39" s="483" t="s">
        <v>134</v>
      </c>
      <c r="P39" s="302" t="s">
        <v>347</v>
      </c>
      <c r="Q39" s="303"/>
      <c r="R39" s="303"/>
      <c r="S39" s="484"/>
      <c r="T39" s="415"/>
    </row>
    <row r="40" spans="1:22" x14ac:dyDescent="0.25">
      <c r="A40" s="485" t="s">
        <v>106</v>
      </c>
      <c r="B40" s="486"/>
      <c r="C40" s="487"/>
      <c r="D40" s="487"/>
      <c r="E40" s="487"/>
      <c r="F40" s="487">
        <f>+Husholdninger!F95</f>
        <v>0.18884156518799999</v>
      </c>
      <c r="G40" s="487"/>
      <c r="H40" s="487"/>
      <c r="I40" s="487"/>
      <c r="J40" s="486"/>
      <c r="K40" s="487"/>
      <c r="L40" s="487"/>
      <c r="M40" s="487"/>
      <c r="N40" s="487"/>
      <c r="O40" s="487"/>
      <c r="P40" s="486">
        <f>+Husholdninger!P95</f>
        <v>39.625689592938883</v>
      </c>
      <c r="Q40" s="487">
        <f>+Husholdninger!Q95</f>
        <v>39.315388364559759</v>
      </c>
      <c r="R40" s="487">
        <f>+Husholdninger!R95</f>
        <v>20.343180699244311</v>
      </c>
      <c r="S40" s="488"/>
      <c r="T40" s="288">
        <f t="shared" ref="T40:T45" si="6">+SUM(B40:R40)</f>
        <v>99.473100221930949</v>
      </c>
    </row>
    <row r="41" spans="1:22" x14ac:dyDescent="0.25">
      <c r="A41" s="485" t="s">
        <v>103</v>
      </c>
      <c r="B41" s="226"/>
      <c r="C41" s="154">
        <f>+'H&amp;S'!C152</f>
        <v>0.17299693445083575</v>
      </c>
      <c r="D41" s="154"/>
      <c r="E41" s="154"/>
      <c r="F41" s="154"/>
      <c r="G41" s="154"/>
      <c r="H41" s="154"/>
      <c r="I41" s="154"/>
      <c r="J41" s="226">
        <f>+'H&amp;S'!J144</f>
        <v>0</v>
      </c>
      <c r="K41" s="154">
        <f>+'H&amp;S'!K144</f>
        <v>0</v>
      </c>
      <c r="L41" s="154">
        <f>+'H&amp;S'!L144</f>
        <v>1.2685320273736993</v>
      </c>
      <c r="M41" s="154">
        <f>+'H&amp;S'!M144</f>
        <v>1.3941077006138913</v>
      </c>
      <c r="N41" s="154">
        <f>+'H&amp;S'!N144</f>
        <v>0</v>
      </c>
      <c r="O41" s="154">
        <f>+'H&amp;S'!O144</f>
        <v>1.2365967812598491</v>
      </c>
      <c r="P41" s="226">
        <f>+'H&amp;S'!P152</f>
        <v>6.7941247279789181</v>
      </c>
      <c r="Q41" s="154">
        <f>+'H&amp;S'!Q152</f>
        <v>22.604391282303418</v>
      </c>
      <c r="R41" s="154">
        <f>+'H&amp;S'!R152</f>
        <v>26.842212493301489</v>
      </c>
      <c r="S41" s="488"/>
      <c r="T41" s="288">
        <f t="shared" si="6"/>
        <v>60.312961947282098</v>
      </c>
      <c r="U41" s="293">
        <f>+P41+Q41+R41</f>
        <v>56.240728503583824</v>
      </c>
    </row>
    <row r="42" spans="1:22" x14ac:dyDescent="0.25">
      <c r="A42" s="485" t="s">
        <v>102</v>
      </c>
      <c r="B42" s="486"/>
      <c r="C42" s="487"/>
      <c r="D42" s="487">
        <f>+Produktion!C93</f>
        <v>4.4226461579055805</v>
      </c>
      <c r="E42" s="487"/>
      <c r="F42" s="487"/>
      <c r="G42" s="489"/>
      <c r="H42" s="489"/>
      <c r="I42" s="487">
        <f>+Produktion!F93</f>
        <v>2.9001894891472801</v>
      </c>
      <c r="J42" s="486">
        <f>+Produktion!G93</f>
        <v>0.83330022303055074</v>
      </c>
      <c r="K42" s="487">
        <f>+Produktion!H93</f>
        <v>4.8428238966442372</v>
      </c>
      <c r="L42" s="487">
        <f>+Produktion!I93</f>
        <v>1.0062106634019243</v>
      </c>
      <c r="M42" s="487">
        <f>+Produktion!J93</f>
        <v>0</v>
      </c>
      <c r="N42" s="487">
        <f>+Produktion!K93</f>
        <v>0</v>
      </c>
      <c r="O42" s="487">
        <f>+Produktion!L93</f>
        <v>0</v>
      </c>
      <c r="P42" s="486">
        <f>+Produktion!M93</f>
        <v>0.15953732432967144</v>
      </c>
      <c r="Q42" s="487">
        <f>+Produktion!N93</f>
        <v>0</v>
      </c>
      <c r="R42" s="487">
        <f>+Produktion!O93</f>
        <v>5.1902366262414912</v>
      </c>
      <c r="S42" s="488"/>
      <c r="T42" s="288">
        <f t="shared" si="6"/>
        <v>19.354944380700736</v>
      </c>
    </row>
    <row r="43" spans="1:22" x14ac:dyDescent="0.25">
      <c r="A43" s="485" t="s">
        <v>31</v>
      </c>
      <c r="B43" s="486"/>
      <c r="C43" s="487"/>
      <c r="D43" s="487">
        <f>+Produktion!C94</f>
        <v>0.14024364815843837</v>
      </c>
      <c r="E43" s="487"/>
      <c r="F43" s="487"/>
      <c r="G43" s="489"/>
      <c r="H43" s="489"/>
      <c r="I43" s="489"/>
      <c r="J43" s="486">
        <f>+Produktion!G94</f>
        <v>0.71482951320526211</v>
      </c>
      <c r="K43" s="487">
        <f>+Produktion!H94</f>
        <v>1.0534813561546457</v>
      </c>
      <c r="L43" s="487">
        <f>+Produktion!I94</f>
        <v>4.9831616186515744</v>
      </c>
      <c r="M43" s="487">
        <f>+Produktion!J94</f>
        <v>11.373307405150017</v>
      </c>
      <c r="N43" s="487">
        <f>+Produktion!K94</f>
        <v>3.5303409939880819</v>
      </c>
      <c r="O43" s="487">
        <f>+Produktion!L94</f>
        <v>16.524019246780078</v>
      </c>
      <c r="P43" s="486">
        <f>+Produktion!M94</f>
        <v>7.747146289206416</v>
      </c>
      <c r="Q43" s="487">
        <f>+Produktion!N94</f>
        <v>3.8968440221345984</v>
      </c>
      <c r="R43" s="487">
        <f>+Produktion!O94</f>
        <v>26.822746759632313</v>
      </c>
      <c r="S43" s="488"/>
      <c r="T43" s="288">
        <f t="shared" si="6"/>
        <v>76.786120853061419</v>
      </c>
      <c r="U43" s="293">
        <f>+T42+T43+T44</f>
        <v>100.1429660040212</v>
      </c>
    </row>
    <row r="44" spans="1:22" x14ac:dyDescent="0.25">
      <c r="A44" s="485" t="s">
        <v>32</v>
      </c>
      <c r="B44" s="486"/>
      <c r="C44" s="487"/>
      <c r="D44" s="487">
        <f>+Produktion!C95</f>
        <v>1.1918594586743763</v>
      </c>
      <c r="E44" s="487"/>
      <c r="F44" s="487"/>
      <c r="G44" s="489"/>
      <c r="H44" s="489"/>
      <c r="I44" s="489"/>
      <c r="J44" s="486">
        <f>+Produktion!G95</f>
        <v>0.64937702254964391</v>
      </c>
      <c r="K44" s="487">
        <f>+Produktion!H95</f>
        <v>0.64937702254964391</v>
      </c>
      <c r="L44" s="487">
        <f>+Produktion!I95</f>
        <v>0</v>
      </c>
      <c r="M44" s="487">
        <f>+Produktion!J95</f>
        <v>0</v>
      </c>
      <c r="N44" s="487">
        <f>+Produktion!K95</f>
        <v>0</v>
      </c>
      <c r="O44" s="487">
        <f>+Produktion!L95</f>
        <v>0</v>
      </c>
      <c r="P44" s="486">
        <f>+Produktion!M95</f>
        <v>0</v>
      </c>
      <c r="Q44" s="487">
        <f>+Produktion!N95</f>
        <v>0</v>
      </c>
      <c r="R44" s="487">
        <f>+Produktion!O95</f>
        <v>1.5112872664853785</v>
      </c>
      <c r="S44" s="488"/>
      <c r="T44" s="288">
        <f t="shared" si="6"/>
        <v>4.0019007702590423</v>
      </c>
    </row>
    <row r="45" spans="1:22" x14ac:dyDescent="0.25">
      <c r="A45" s="490" t="s">
        <v>35</v>
      </c>
      <c r="B45" s="492">
        <f>+Transport!B39</f>
        <v>25.909432042883306</v>
      </c>
      <c r="C45" s="492">
        <f>+Transport!C39</f>
        <v>12.181479090184668</v>
      </c>
      <c r="D45" s="492">
        <f>+Transport!D39</f>
        <v>11.294582972989406</v>
      </c>
      <c r="E45" s="492">
        <f>+Transport!E39</f>
        <v>2.4011799122806337</v>
      </c>
      <c r="F45" s="492">
        <f>+Transport!F39</f>
        <v>0.27880775973011213</v>
      </c>
      <c r="G45" s="492">
        <f>+Transport!G39</f>
        <v>18.839602002713203</v>
      </c>
      <c r="H45" s="492">
        <f>+Transport!H39</f>
        <v>2.9213381199647523</v>
      </c>
      <c r="I45" s="982">
        <f>+Transport!I39</f>
        <v>2.3418942445853181</v>
      </c>
      <c r="J45" s="491"/>
      <c r="K45" s="492"/>
      <c r="L45" s="492"/>
      <c r="M45" s="492"/>
      <c r="N45" s="492"/>
      <c r="O45" s="492"/>
      <c r="P45" s="491"/>
      <c r="Q45" s="492"/>
      <c r="R45" s="492"/>
      <c r="S45" s="484"/>
      <c r="T45" s="289">
        <f t="shared" si="6"/>
        <v>76.168316145331403</v>
      </c>
    </row>
    <row r="46" spans="1:22" ht="15.75" thickBot="1" x14ac:dyDescent="0.3">
      <c r="A46" s="493" t="s">
        <v>33</v>
      </c>
      <c r="B46" s="494">
        <f t="shared" ref="B46:I46" si="7">SUM(B40:B45)</f>
        <v>25.909432042883306</v>
      </c>
      <c r="C46" s="495">
        <f t="shared" si="7"/>
        <v>12.354476024635504</v>
      </c>
      <c r="D46" s="495">
        <f t="shared" si="7"/>
        <v>17.049332237727803</v>
      </c>
      <c r="E46" s="495">
        <f t="shared" si="7"/>
        <v>2.4011799122806337</v>
      </c>
      <c r="F46" s="495">
        <f t="shared" si="7"/>
        <v>0.46764932491811212</v>
      </c>
      <c r="G46" s="495">
        <f t="shared" si="7"/>
        <v>18.839602002713203</v>
      </c>
      <c r="H46" s="495">
        <f t="shared" si="7"/>
        <v>2.9213381199647523</v>
      </c>
      <c r="I46" s="495">
        <f t="shared" si="7"/>
        <v>5.2420837337325983</v>
      </c>
      <c r="J46" s="494">
        <f t="shared" ref="J46:T46" si="8">SUM(J40:J45)</f>
        <v>2.1975067587854569</v>
      </c>
      <c r="K46" s="495">
        <f t="shared" si="8"/>
        <v>6.5456822753485273</v>
      </c>
      <c r="L46" s="495">
        <f t="shared" si="8"/>
        <v>7.2579043094271984</v>
      </c>
      <c r="M46" s="495">
        <f t="shared" si="8"/>
        <v>12.767415105763909</v>
      </c>
      <c r="N46" s="495">
        <f t="shared" si="8"/>
        <v>3.5303409939880819</v>
      </c>
      <c r="O46" s="495">
        <f t="shared" si="8"/>
        <v>17.760616028039927</v>
      </c>
      <c r="P46" s="494">
        <f t="shared" si="8"/>
        <v>54.326497934453883</v>
      </c>
      <c r="Q46" s="495">
        <f t="shared" si="8"/>
        <v>65.816623668997778</v>
      </c>
      <c r="R46" s="495">
        <f t="shared" si="8"/>
        <v>80.709663844904995</v>
      </c>
      <c r="S46" s="494"/>
      <c r="T46" s="496">
        <f t="shared" si="8"/>
        <v>336.09734431856566</v>
      </c>
      <c r="U46" s="293">
        <f>+T13-T46</f>
        <v>201.19952509764175</v>
      </c>
    </row>
    <row r="47" spans="1:22" x14ac:dyDescent="0.25">
      <c r="A47" s="21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293">
        <f>+U46-U23</f>
        <v>194.0812918072549</v>
      </c>
    </row>
    <row r="48" spans="1:22" ht="15.75" thickBot="1" x14ac:dyDescent="0.3">
      <c r="A48" t="str">
        <f>+A2</f>
        <v>Energistyrelsen, PB, den 12. september 2013</v>
      </c>
      <c r="U48" s="1081"/>
      <c r="V48" s="1081"/>
    </row>
    <row r="49" spans="1:23" x14ac:dyDescent="0.25">
      <c r="A49" s="325" t="s">
        <v>0</v>
      </c>
      <c r="B49" s="1069" t="s">
        <v>34</v>
      </c>
      <c r="C49" s="1070"/>
      <c r="D49" s="1070"/>
      <c r="E49" s="1070"/>
      <c r="F49" s="1070"/>
      <c r="G49" s="1070"/>
      <c r="H49" s="1070"/>
      <c r="I49" s="1070"/>
      <c r="J49" s="1071"/>
      <c r="K49" s="1072" t="s">
        <v>127</v>
      </c>
      <c r="L49" s="1073"/>
      <c r="M49" s="1073"/>
      <c r="N49" s="1073"/>
      <c r="O49" s="1073"/>
      <c r="P49" s="1073"/>
      <c r="Q49" s="1073"/>
      <c r="R49" s="1073"/>
      <c r="S49" s="1074"/>
      <c r="U49" s="1026"/>
      <c r="V49" s="1026"/>
    </row>
    <row r="50" spans="1:23" ht="18.75" x14ac:dyDescent="0.3">
      <c r="A50" s="821">
        <f>+B1</f>
        <v>2050</v>
      </c>
      <c r="B50" s="253">
        <v>2011</v>
      </c>
      <c r="C50" s="1078" t="s">
        <v>136</v>
      </c>
      <c r="D50" s="1079"/>
      <c r="E50" s="1078" t="s">
        <v>54</v>
      </c>
      <c r="F50" s="1079"/>
      <c r="G50" s="1078" t="s">
        <v>55</v>
      </c>
      <c r="H50" s="1079"/>
      <c r="I50" s="1078" t="s">
        <v>119</v>
      </c>
      <c r="J50" s="1080"/>
      <c r="K50" s="266">
        <v>2011</v>
      </c>
      <c r="L50" s="1075" t="s">
        <v>136</v>
      </c>
      <c r="M50" s="1076"/>
      <c r="N50" s="1075" t="s">
        <v>54</v>
      </c>
      <c r="O50" s="1076"/>
      <c r="P50" s="1075" t="s">
        <v>55</v>
      </c>
      <c r="Q50" s="1076"/>
      <c r="R50" s="1075" t="s">
        <v>119</v>
      </c>
      <c r="S50" s="1077"/>
      <c r="U50" s="823"/>
      <c r="V50" s="823"/>
    </row>
    <row r="51" spans="1:23" x14ac:dyDescent="0.25">
      <c r="A51" s="375" t="s">
        <v>1</v>
      </c>
      <c r="B51" s="254" t="s">
        <v>1</v>
      </c>
      <c r="C51" s="255" t="s">
        <v>1</v>
      </c>
      <c r="D51" s="256" t="s">
        <v>138</v>
      </c>
      <c r="E51" s="255" t="s">
        <v>1</v>
      </c>
      <c r="F51" s="256" t="s">
        <v>138</v>
      </c>
      <c r="G51" s="255" t="s">
        <v>1</v>
      </c>
      <c r="H51" s="256" t="s">
        <v>138</v>
      </c>
      <c r="I51" s="255" t="s">
        <v>1</v>
      </c>
      <c r="J51" s="256" t="s">
        <v>138</v>
      </c>
      <c r="K51" s="267" t="s">
        <v>1</v>
      </c>
      <c r="L51" s="268" t="s">
        <v>1</v>
      </c>
      <c r="M51" s="269" t="s">
        <v>138</v>
      </c>
      <c r="N51" s="268" t="s">
        <v>1</v>
      </c>
      <c r="O51" s="269" t="s">
        <v>138</v>
      </c>
      <c r="P51" s="268" t="s">
        <v>1</v>
      </c>
      <c r="Q51" s="269" t="s">
        <v>138</v>
      </c>
      <c r="R51" s="268" t="s">
        <v>1</v>
      </c>
      <c r="S51" s="270" t="s">
        <v>138</v>
      </c>
      <c r="U51" s="823"/>
      <c r="V51" s="823"/>
    </row>
    <row r="52" spans="1:23" x14ac:dyDescent="0.25">
      <c r="A52" s="12" t="s">
        <v>106</v>
      </c>
      <c r="B52" s="257">
        <f>+'2011'!T7+'2011'!T8</f>
        <v>172.47809228286673</v>
      </c>
      <c r="C52" s="257">
        <f>+T7</f>
        <v>190.90464604543754</v>
      </c>
      <c r="D52" s="259">
        <f>+(C52/$B52)^(1/42)-1</f>
        <v>2.4196808300056549E-3</v>
      </c>
      <c r="E52" s="258">
        <f t="shared" ref="E52:E57" si="9">+T18</f>
        <v>131.12745631616463</v>
      </c>
      <c r="F52" s="259">
        <f t="shared" ref="F52:F58" si="10">+(E52/$B52)^(1/42)-1</f>
        <v>-6.5049512695966039E-3</v>
      </c>
      <c r="G52" s="258">
        <f t="shared" ref="G52:G57" si="11">+T29</f>
        <v>116.85479185785137</v>
      </c>
      <c r="H52" s="259">
        <f t="shared" ref="H52:H58" si="12">+(G52/$B52)^(1/42)-1</f>
        <v>-9.2271225656671563E-3</v>
      </c>
      <c r="I52" s="258">
        <f t="shared" ref="I52:I57" si="13">+T40</f>
        <v>99.473100221930949</v>
      </c>
      <c r="J52" s="259">
        <f t="shared" ref="J52:J58" si="14">+(I52/$B52)^(1/42)-1</f>
        <v>-1.3018868158086727E-2</v>
      </c>
      <c r="K52" s="271">
        <f>+'2011'!R7+'2011'!R8</f>
        <v>31.303970478820005</v>
      </c>
      <c r="L52" s="271">
        <f>+R7</f>
        <v>43.61581202671811</v>
      </c>
      <c r="M52" s="273">
        <f>+(L52/$K52)^(1/42)-1</f>
        <v>7.9282828389304338E-3</v>
      </c>
      <c r="N52" s="272">
        <f>+R18</f>
        <v>28.756128710033501</v>
      </c>
      <c r="O52" s="273">
        <f>+(N52/$K52)^(1/42)-1</f>
        <v>-2.0192448815320452E-3</v>
      </c>
      <c r="P52" s="272">
        <f>+R29</f>
        <v>24.069761266802349</v>
      </c>
      <c r="Q52" s="273">
        <f>+(P52/$K52)^(1/42)-1</f>
        <v>-6.2373381680136397E-3</v>
      </c>
      <c r="R52" s="272">
        <f>+R40</f>
        <v>20.343180699244311</v>
      </c>
      <c r="S52" s="274">
        <f>+(R52/$K52)^(1/42)-1</f>
        <v>-1.0209411902205812E-2</v>
      </c>
      <c r="W52" s="605"/>
    </row>
    <row r="53" spans="1:23" x14ac:dyDescent="0.25">
      <c r="A53" s="12" t="s">
        <v>103</v>
      </c>
      <c r="B53" s="257">
        <f>+SUM('2011'!T9:T12)</f>
        <v>79.800400591248717</v>
      </c>
      <c r="C53" s="257">
        <f t="shared" ref="C53:C58" si="15">+T8</f>
        <v>103.19395091585741</v>
      </c>
      <c r="D53" s="259">
        <f t="shared" ref="D53:D58" si="16">+(C53/$B53)^(1/42)-1</f>
        <v>6.1397646969922892E-3</v>
      </c>
      <c r="E53" s="258">
        <f t="shared" si="9"/>
        <v>80.689111638351875</v>
      </c>
      <c r="F53" s="259">
        <f t="shared" si="10"/>
        <v>2.6372805234564645E-4</v>
      </c>
      <c r="G53" s="258">
        <f t="shared" si="11"/>
        <v>72.266856076129528</v>
      </c>
      <c r="H53" s="259">
        <f t="shared" si="12"/>
        <v>-2.3582369444282714E-3</v>
      </c>
      <c r="I53" s="258">
        <f t="shared" si="13"/>
        <v>60.312961947282098</v>
      </c>
      <c r="J53" s="259">
        <f t="shared" si="14"/>
        <v>-6.6440558662929083E-3</v>
      </c>
      <c r="K53" s="271">
        <f>+'2011'!R9+'2011'!R10+'2011'!R11+'2011'!R12</f>
        <v>33.263706394195452</v>
      </c>
      <c r="L53" s="271">
        <f t="shared" ref="L53:L58" si="17">+R8</f>
        <v>51.143374765494883</v>
      </c>
      <c r="M53" s="273">
        <f t="shared" ref="M53:M58" si="18">+(L53/$K53)^(1/42)-1</f>
        <v>1.0294678208221164E-2</v>
      </c>
      <c r="N53" s="272">
        <f>+R19</f>
        <v>38.018492642147578</v>
      </c>
      <c r="O53" s="273">
        <f>+(N53/$K53)^(1/42)-1</f>
        <v>3.1861551623975082E-3</v>
      </c>
      <c r="P53" s="272">
        <f>+R30</f>
        <v>34.172985035436739</v>
      </c>
      <c r="Q53" s="273">
        <f>+(P53/$K53)^(1/42)-1</f>
        <v>6.4231372222534056E-4</v>
      </c>
      <c r="R53" s="272">
        <f>+R41</f>
        <v>26.842212493301489</v>
      </c>
      <c r="S53" s="274">
        <f>+(R53/$K53)^(1/42)-1</f>
        <v>-5.0939142468859888E-3</v>
      </c>
      <c r="W53" s="605"/>
    </row>
    <row r="54" spans="1:23" x14ac:dyDescent="0.25">
      <c r="A54" s="12" t="s">
        <v>102</v>
      </c>
      <c r="B54" s="257">
        <f>+SUM('2011'!T13:T15)</f>
        <v>17.639573184151537</v>
      </c>
      <c r="C54" s="257">
        <f t="shared" si="15"/>
        <v>27.168106756855025</v>
      </c>
      <c r="D54" s="259">
        <f t="shared" si="16"/>
        <v>1.0336361695008955E-2</v>
      </c>
      <c r="E54" s="258">
        <f t="shared" si="9"/>
        <v>24.717835582946257</v>
      </c>
      <c r="F54" s="259">
        <f t="shared" si="10"/>
        <v>8.065212312325265E-3</v>
      </c>
      <c r="G54" s="258">
        <f t="shared" si="11"/>
        <v>22.209949640422071</v>
      </c>
      <c r="H54" s="259">
        <f t="shared" si="12"/>
        <v>5.500681020966125E-3</v>
      </c>
      <c r="I54" s="258">
        <f t="shared" si="13"/>
        <v>19.354944380700736</v>
      </c>
      <c r="J54" s="259">
        <f t="shared" si="14"/>
        <v>2.212039529144727E-3</v>
      </c>
      <c r="K54" s="271">
        <f>+'2011'!R13+'2011'!R14+'2011'!R15</f>
        <v>5.1627323565941223</v>
      </c>
      <c r="L54" s="271">
        <f t="shared" si="17"/>
        <v>8.5240386021329559</v>
      </c>
      <c r="M54" s="273">
        <f t="shared" si="18"/>
        <v>1.2010223678266874E-2</v>
      </c>
      <c r="N54" s="272">
        <f>+R20</f>
        <v>7.0880572764549923</v>
      </c>
      <c r="O54" s="273">
        <f>+(N54/$K54)^(1/42)-1</f>
        <v>7.5748625497880084E-3</v>
      </c>
      <c r="P54" s="272">
        <f>+R31</f>
        <v>6.0736263606911907</v>
      </c>
      <c r="Q54" s="273">
        <f>+(P54/$K54)^(1/42)-1</f>
        <v>3.8763002643082967E-3</v>
      </c>
      <c r="R54" s="272">
        <f>+R42</f>
        <v>5.1902366262414912</v>
      </c>
      <c r="S54" s="274">
        <f>+(R54/$K54)^(1/42)-1</f>
        <v>1.2651569404753538E-4</v>
      </c>
      <c r="W54" s="605"/>
    </row>
    <row r="55" spans="1:23" x14ac:dyDescent="0.25">
      <c r="A55" s="12" t="s">
        <v>31</v>
      </c>
      <c r="B55" s="257">
        <f>+'2011'!T16</f>
        <v>87.960767516890826</v>
      </c>
      <c r="C55" s="257">
        <f t="shared" si="15"/>
        <v>126.91283017811023</v>
      </c>
      <c r="D55" s="259">
        <f t="shared" si="16"/>
        <v>8.7670066490765919E-3</v>
      </c>
      <c r="E55" s="258">
        <f t="shared" si="9"/>
        <v>98.641792803600538</v>
      </c>
      <c r="F55" s="259">
        <f t="shared" si="10"/>
        <v>2.7323962683918346E-3</v>
      </c>
      <c r="G55" s="258">
        <f t="shared" si="11"/>
        <v>90.467405915798238</v>
      </c>
      <c r="H55" s="259">
        <f t="shared" si="12"/>
        <v>6.6924143290125748E-4</v>
      </c>
      <c r="I55" s="258">
        <f t="shared" si="13"/>
        <v>76.786120853061419</v>
      </c>
      <c r="J55" s="259">
        <f t="shared" si="14"/>
        <v>-3.2297014866340401E-3</v>
      </c>
      <c r="K55" s="271">
        <f>+'2011'!R16</f>
        <v>27.863294250302356</v>
      </c>
      <c r="L55" s="271">
        <f t="shared" si="17"/>
        <v>44.051580931467235</v>
      </c>
      <c r="M55" s="273">
        <f t="shared" si="18"/>
        <v>1.0965664019739529E-2</v>
      </c>
      <c r="N55" s="272">
        <f>+R21</f>
        <v>33.544661878272784</v>
      </c>
      <c r="O55" s="273">
        <f>+(N55/$K55)^(1/42)-1</f>
        <v>4.4280496556392546E-3</v>
      </c>
      <c r="P55" s="272">
        <f>+R32</f>
        <v>31.388037485955483</v>
      </c>
      <c r="Q55" s="273">
        <f>+(P55/$K55)^(1/42)-1</f>
        <v>2.8401361417795812E-3</v>
      </c>
      <c r="R55" s="272">
        <f>+R43</f>
        <v>26.822746759632313</v>
      </c>
      <c r="S55" s="274">
        <f>+(R55/$K55)^(1/42)-1</f>
        <v>-9.0577803903402199E-4</v>
      </c>
      <c r="W55" s="605"/>
    </row>
    <row r="56" spans="1:23" x14ac:dyDescent="0.25">
      <c r="A56" s="12" t="s">
        <v>32</v>
      </c>
      <c r="B56" s="257">
        <f>+'2011'!T17</f>
        <v>3.572114</v>
      </c>
      <c r="C56" s="257">
        <f t="shared" si="15"/>
        <v>5.8307860842289942</v>
      </c>
      <c r="D56" s="259">
        <f t="shared" si="16"/>
        <v>1.1734849102218226E-2</v>
      </c>
      <c r="E56" s="258">
        <f t="shared" si="9"/>
        <v>4.7568618424374378</v>
      </c>
      <c r="F56" s="259">
        <f t="shared" si="10"/>
        <v>6.843083737412714E-3</v>
      </c>
      <c r="G56" s="258">
        <f t="shared" si="11"/>
        <v>4.4801760063981444</v>
      </c>
      <c r="H56" s="259">
        <f t="shared" si="12"/>
        <v>5.4075386082557131E-3</v>
      </c>
      <c r="I56" s="258">
        <f t="shared" si="13"/>
        <v>4.0019007702590423</v>
      </c>
      <c r="J56" s="259">
        <f t="shared" si="14"/>
        <v>2.7087063007580348E-3</v>
      </c>
      <c r="K56" s="271">
        <f>+'2011'!R17</f>
        <v>1.30158</v>
      </c>
      <c r="L56" s="271">
        <f t="shared" si="17"/>
        <v>2.4820199782995358</v>
      </c>
      <c r="M56" s="273">
        <f t="shared" si="18"/>
        <v>1.5487609508315181E-2</v>
      </c>
      <c r="N56" s="272">
        <f>+R22</f>
        <v>1.890023449480835</v>
      </c>
      <c r="O56" s="273">
        <f>+(N56/$K56)^(1/42)-1</f>
        <v>8.9207530672266167E-3</v>
      </c>
      <c r="P56" s="272">
        <f>+R33</f>
        <v>1.7685116963442751</v>
      </c>
      <c r="Q56" s="273">
        <f>+(P56/$K56)^(1/42)-1</f>
        <v>7.3257369794557103E-3</v>
      </c>
      <c r="R56" s="272">
        <f>+R44</f>
        <v>1.5112872664853785</v>
      </c>
      <c r="S56" s="274">
        <f>+(R56/$K56)^(1/42)-1</f>
        <v>3.5630677095888075E-3</v>
      </c>
      <c r="W56" s="605"/>
    </row>
    <row r="57" spans="1:23" x14ac:dyDescent="0.25">
      <c r="A57" s="113" t="s">
        <v>35</v>
      </c>
      <c r="B57" s="260">
        <f>+'2011'!T18</f>
        <v>52.641499999999994</v>
      </c>
      <c r="C57" s="378">
        <f t="shared" si="15"/>
        <v>83.286549435718271</v>
      </c>
      <c r="D57" s="306">
        <f t="shared" si="16"/>
        <v>1.0983265708147893E-2</v>
      </c>
      <c r="E57" s="261">
        <f t="shared" si="9"/>
        <v>76.168316145331403</v>
      </c>
      <c r="F57" s="306">
        <f t="shared" si="10"/>
        <v>8.83500974987661E-3</v>
      </c>
      <c r="G57" s="261">
        <f t="shared" si="11"/>
        <v>76.168316145331403</v>
      </c>
      <c r="H57" s="306">
        <f t="shared" si="12"/>
        <v>8.83500974987661E-3</v>
      </c>
      <c r="I57" s="262">
        <f t="shared" si="13"/>
        <v>76.168316145331403</v>
      </c>
      <c r="J57" s="306">
        <f t="shared" si="14"/>
        <v>8.83500974987661E-3</v>
      </c>
      <c r="K57" s="275"/>
      <c r="L57" s="417"/>
      <c r="M57" s="418"/>
      <c r="N57" s="276"/>
      <c r="O57" s="277"/>
      <c r="P57" s="276"/>
      <c r="Q57" s="277"/>
      <c r="R57" s="276"/>
      <c r="S57" s="278"/>
    </row>
    <row r="58" spans="1:23" ht="15.75" thickBot="1" x14ac:dyDescent="0.3">
      <c r="A58" s="126" t="s">
        <v>33</v>
      </c>
      <c r="B58" s="263">
        <f>+SUM(B52:B57)</f>
        <v>414.09244757515779</v>
      </c>
      <c r="C58" s="263">
        <f t="shared" si="15"/>
        <v>537.29686941620741</v>
      </c>
      <c r="D58" s="265">
        <f t="shared" si="16"/>
        <v>6.2207336314847872E-3</v>
      </c>
      <c r="E58" s="264">
        <f t="shared" ref="E58" si="19">+SUM(E52:E57)</f>
        <v>416.10137432883215</v>
      </c>
      <c r="F58" s="265">
        <f t="shared" si="10"/>
        <v>1.1523679748970395E-4</v>
      </c>
      <c r="G58" s="264">
        <f>+SUM(G52:G57)</f>
        <v>382.4474956419308</v>
      </c>
      <c r="H58" s="265">
        <f t="shared" si="12"/>
        <v>-1.8910163111454104E-3</v>
      </c>
      <c r="I58" s="264">
        <f>+SUM(I52:I57)</f>
        <v>336.09734431856566</v>
      </c>
      <c r="J58" s="265">
        <f t="shared" si="14"/>
        <v>-4.9564479535378902E-3</v>
      </c>
      <c r="K58" s="279">
        <f>+SUM(K52:K57)</f>
        <v>98.895283479911939</v>
      </c>
      <c r="L58" s="279">
        <f t="shared" si="17"/>
        <v>149.81682630411274</v>
      </c>
      <c r="M58" s="281">
        <f t="shared" si="18"/>
        <v>9.9383905893930535E-3</v>
      </c>
      <c r="N58" s="280">
        <f t="shared" ref="N58" si="20">+SUM(N52:N57)</f>
        <v>109.29736395638967</v>
      </c>
      <c r="O58" s="281">
        <f>+(N58/$K58)^(1/42)-1</f>
        <v>2.3840451765975157E-3</v>
      </c>
      <c r="P58" s="280">
        <f t="shared" ref="P58" si="21">+SUM(P52:P57)</f>
        <v>97.472921845230033</v>
      </c>
      <c r="Q58" s="281">
        <f>+(P58/$K58)^(1/42)-1</f>
        <v>-3.4486749419815332E-4</v>
      </c>
      <c r="R58" s="280">
        <f t="shared" ref="R58" si="22">+SUM(R52:R57)</f>
        <v>80.709663844904995</v>
      </c>
      <c r="S58" s="282">
        <f>+(R58/$K58)^(1/42)-1</f>
        <v>-4.8264870250511738E-3</v>
      </c>
    </row>
    <row r="59" spans="1:23" x14ac:dyDescent="0.25">
      <c r="A59" s="52"/>
      <c r="B59" s="416"/>
      <c r="C59" s="257">
        <f>C58/B58*100</f>
        <v>129.75287826728305</v>
      </c>
      <c r="D59" s="10"/>
      <c r="E59" s="416">
        <f>E58/B58*100</f>
        <v>100.48513967483305</v>
      </c>
      <c r="F59" s="130"/>
      <c r="G59" s="416">
        <f>G58/B58*100</f>
        <v>92.35799828793462</v>
      </c>
      <c r="H59" s="130"/>
      <c r="I59" s="416">
        <f>I58/B58*100</f>
        <v>81.164809038823151</v>
      </c>
      <c r="J59" s="130"/>
      <c r="K59" s="416"/>
      <c r="L59" s="416"/>
      <c r="M59" s="130"/>
      <c r="N59" s="416"/>
      <c r="O59" s="130"/>
      <c r="P59" s="416"/>
      <c r="Q59" s="130"/>
      <c r="R59" s="416">
        <f>R58/K58*100</f>
        <v>81.611236658519829</v>
      </c>
      <c r="S59" s="130"/>
    </row>
    <row r="82" spans="1:4" x14ac:dyDescent="0.25">
      <c r="A82">
        <f>+B50</f>
        <v>2011</v>
      </c>
    </row>
    <row r="83" spans="1:4" x14ac:dyDescent="0.25">
      <c r="A83" t="str">
        <f>+C50</f>
        <v>Frozen</v>
      </c>
    </row>
    <row r="84" spans="1:4" x14ac:dyDescent="0.25">
      <c r="A84" t="s">
        <v>215</v>
      </c>
    </row>
    <row r="85" spans="1:4" x14ac:dyDescent="0.25">
      <c r="A85" t="s">
        <v>382</v>
      </c>
    </row>
    <row r="86" spans="1:4" x14ac:dyDescent="0.25">
      <c r="A86" t="s">
        <v>389</v>
      </c>
    </row>
    <row r="87" spans="1:4" ht="15.75" x14ac:dyDescent="0.25">
      <c r="A87" s="824" t="s">
        <v>348</v>
      </c>
    </row>
    <row r="88" spans="1:4" x14ac:dyDescent="0.25">
      <c r="A88" s="7" t="s">
        <v>106</v>
      </c>
      <c r="B88" s="7">
        <v>2011</v>
      </c>
      <c r="C88" s="7">
        <v>2035</v>
      </c>
      <c r="D88" s="7">
        <v>2050</v>
      </c>
    </row>
    <row r="89" spans="1:4" x14ac:dyDescent="0.25">
      <c r="A89" t="s">
        <v>136</v>
      </c>
      <c r="B89" s="57">
        <f>+$B$52</f>
        <v>172.47809228286673</v>
      </c>
      <c r="C89" s="57">
        <f>+'Res energi 2035'!C52</f>
        <v>184.52974782345186</v>
      </c>
      <c r="D89" s="57">
        <f>+C52</f>
        <v>190.90464604543754</v>
      </c>
    </row>
    <row r="90" spans="1:4" x14ac:dyDescent="0.25">
      <c r="A90" t="s">
        <v>54</v>
      </c>
      <c r="B90" s="57">
        <f t="shared" ref="B90:B92" si="23">+$B$52</f>
        <v>172.47809228286673</v>
      </c>
      <c r="C90" s="57">
        <f>+'Res energi 2035'!E52</f>
        <v>150.37092020296461</v>
      </c>
      <c r="D90" s="57">
        <f>+E52</f>
        <v>131.12745631616463</v>
      </c>
    </row>
    <row r="91" spans="1:4" x14ac:dyDescent="0.25">
      <c r="A91" t="s">
        <v>55</v>
      </c>
      <c r="B91" s="57">
        <f t="shared" si="23"/>
        <v>172.47809228286673</v>
      </c>
      <c r="C91" s="57">
        <f>+'Res energi 2035'!G52</f>
        <v>142.58369420697022</v>
      </c>
      <c r="D91" s="57">
        <f>+G52</f>
        <v>116.85479185785137</v>
      </c>
    </row>
    <row r="92" spans="1:4" x14ac:dyDescent="0.25">
      <c r="A92" t="s">
        <v>119</v>
      </c>
      <c r="B92" s="57">
        <f t="shared" si="23"/>
        <v>172.47809228286673</v>
      </c>
      <c r="C92" s="57">
        <f>+'Res energi 2035'!I52</f>
        <v>133.04314141364011</v>
      </c>
      <c r="D92" s="57">
        <f>+I52</f>
        <v>99.473100221930949</v>
      </c>
    </row>
    <row r="95" spans="1:4" x14ac:dyDescent="0.25">
      <c r="A95" s="7" t="s">
        <v>103</v>
      </c>
      <c r="B95" s="7">
        <v>2011</v>
      </c>
      <c r="C95" s="7">
        <v>2035</v>
      </c>
      <c r="D95" s="7">
        <v>2050</v>
      </c>
    </row>
    <row r="96" spans="1:4" x14ac:dyDescent="0.25">
      <c r="A96" t="s">
        <v>136</v>
      </c>
      <c r="B96" s="57">
        <f>+$B$53</f>
        <v>79.800400591248717</v>
      </c>
      <c r="C96" s="57">
        <f>+'Res energi 2035'!C53</f>
        <v>94.323064850568471</v>
      </c>
      <c r="D96" s="57">
        <f>+C53</f>
        <v>103.19395091585741</v>
      </c>
    </row>
    <row r="97" spans="1:4" x14ac:dyDescent="0.25">
      <c r="A97" t="s">
        <v>54</v>
      </c>
      <c r="B97" s="57">
        <f t="shared" ref="B97:B99" si="24">+$B$53</f>
        <v>79.800400591248717</v>
      </c>
      <c r="C97" s="57">
        <f>+'Res energi 2035'!E53</f>
        <v>81.987116033420975</v>
      </c>
      <c r="D97" s="57">
        <f>+E53</f>
        <v>80.689111638351875</v>
      </c>
    </row>
    <row r="98" spans="1:4" x14ac:dyDescent="0.25">
      <c r="A98" t="s">
        <v>55</v>
      </c>
      <c r="B98" s="57">
        <f t="shared" si="24"/>
        <v>79.800400591248717</v>
      </c>
      <c r="C98" s="57">
        <f>+'Res energi 2035'!G53</f>
        <v>77.448811351526601</v>
      </c>
      <c r="D98" s="57">
        <f>+G53</f>
        <v>72.266856076129528</v>
      </c>
    </row>
    <row r="99" spans="1:4" x14ac:dyDescent="0.25">
      <c r="A99" t="s">
        <v>119</v>
      </c>
      <c r="B99" s="57">
        <f t="shared" si="24"/>
        <v>79.800400591248717</v>
      </c>
      <c r="C99" s="57">
        <f>+'Res energi 2035'!I53</f>
        <v>71.446286562074917</v>
      </c>
      <c r="D99" s="57">
        <f>+I53</f>
        <v>60.312961947282098</v>
      </c>
    </row>
    <row r="103" spans="1:4" x14ac:dyDescent="0.25">
      <c r="A103" s="7" t="s">
        <v>31</v>
      </c>
      <c r="B103" s="7">
        <v>2011</v>
      </c>
      <c r="C103" s="7">
        <v>2035</v>
      </c>
      <c r="D103" s="7">
        <v>2050</v>
      </c>
    </row>
    <row r="104" spans="1:4" x14ac:dyDescent="0.25">
      <c r="A104" t="s">
        <v>136</v>
      </c>
      <c r="B104" s="57">
        <f>+$B$55</f>
        <v>87.960767516890826</v>
      </c>
      <c r="C104">
        <f>+'Res energi 2035'!C55</f>
        <v>110.03144961360979</v>
      </c>
      <c r="D104" s="57">
        <f>+C55</f>
        <v>126.91283017811023</v>
      </c>
    </row>
    <row r="105" spans="1:4" x14ac:dyDescent="0.25">
      <c r="A105" t="s">
        <v>54</v>
      </c>
      <c r="B105" s="57">
        <f t="shared" ref="B105:B107" si="25">+$B$55</f>
        <v>87.960767516890826</v>
      </c>
      <c r="C105">
        <f>+'Res energi 2035'!E55</f>
        <v>95.555219154221348</v>
      </c>
      <c r="D105" s="57">
        <f>+E55</f>
        <v>98.641792803600538</v>
      </c>
    </row>
    <row r="106" spans="1:4" x14ac:dyDescent="0.25">
      <c r="A106" t="s">
        <v>55</v>
      </c>
      <c r="B106" s="57">
        <f t="shared" si="25"/>
        <v>87.960767516890826</v>
      </c>
      <c r="C106">
        <f>+'Res energi 2035'!G55</f>
        <v>91.539887793157249</v>
      </c>
      <c r="D106" s="57">
        <f>+G55</f>
        <v>90.467405915798238</v>
      </c>
    </row>
    <row r="107" spans="1:4" x14ac:dyDescent="0.25">
      <c r="A107" t="s">
        <v>119</v>
      </c>
      <c r="B107" s="57">
        <f t="shared" si="25"/>
        <v>87.960767516890826</v>
      </c>
      <c r="C107">
        <f>+'Res energi 2035'!I55</f>
        <v>85.015643454801918</v>
      </c>
      <c r="D107" s="57">
        <f>+I55</f>
        <v>76.786120853061419</v>
      </c>
    </row>
    <row r="110" spans="1:4" x14ac:dyDescent="0.25">
      <c r="A110" s="7" t="s">
        <v>35</v>
      </c>
      <c r="B110" s="7">
        <v>2011</v>
      </c>
      <c r="C110" s="7">
        <v>2035</v>
      </c>
      <c r="D110" s="7">
        <v>2050</v>
      </c>
    </row>
    <row r="111" spans="1:4" x14ac:dyDescent="0.25">
      <c r="A111" t="s">
        <v>136</v>
      </c>
      <c r="B111" s="57">
        <f>+$B$57</f>
        <v>52.641499999999994</v>
      </c>
      <c r="C111">
        <f>+'Res energi 2035'!C57</f>
        <v>70.223952587392418</v>
      </c>
      <c r="D111" s="57">
        <f>+C57</f>
        <v>83.286549435718271</v>
      </c>
    </row>
    <row r="112" spans="1:4" x14ac:dyDescent="0.25">
      <c r="A112" t="s">
        <v>54</v>
      </c>
      <c r="B112" s="57">
        <f t="shared" ref="B112:B114" si="26">+$B$57</f>
        <v>52.641499999999994</v>
      </c>
      <c r="C112">
        <f>+'Res energi 2035'!E57</f>
        <v>66.099760298462513</v>
      </c>
      <c r="D112" s="57">
        <f>+E57</f>
        <v>76.168316145331403</v>
      </c>
    </row>
    <row r="113" spans="1:4" x14ac:dyDescent="0.25">
      <c r="A113" t="s">
        <v>55</v>
      </c>
      <c r="B113" s="57">
        <f t="shared" si="26"/>
        <v>52.641499999999994</v>
      </c>
      <c r="C113">
        <f>+'Res energi 2035'!G57</f>
        <v>66.099760298462513</v>
      </c>
      <c r="D113" s="57">
        <f>+G57</f>
        <v>76.168316145331403</v>
      </c>
    </row>
    <row r="114" spans="1:4" x14ac:dyDescent="0.25">
      <c r="A114" t="s">
        <v>119</v>
      </c>
      <c r="B114" s="57">
        <f t="shared" si="26"/>
        <v>52.641499999999994</v>
      </c>
      <c r="C114">
        <f>+'Res energi 2035'!I57</f>
        <v>66.099760298462513</v>
      </c>
      <c r="D114" s="57">
        <f>+I57</f>
        <v>76.168316145331403</v>
      </c>
    </row>
    <row r="119" spans="1:4" ht="15.75" x14ac:dyDescent="0.25">
      <c r="A119" s="824" t="s">
        <v>349</v>
      </c>
    </row>
    <row r="120" spans="1:4" x14ac:dyDescent="0.25">
      <c r="A120" s="7" t="s">
        <v>106</v>
      </c>
      <c r="B120" s="7">
        <v>2011</v>
      </c>
      <c r="C120" s="7">
        <v>2035</v>
      </c>
      <c r="D120" s="7">
        <v>2050</v>
      </c>
    </row>
    <row r="121" spans="1:4" x14ac:dyDescent="0.25">
      <c r="A121" t="s">
        <v>136</v>
      </c>
      <c r="B121" s="57">
        <f>+$K$52</f>
        <v>31.303970478820005</v>
      </c>
      <c r="C121" s="57">
        <f>+'Res energi 2035'!L52</f>
        <v>38.769020054425006</v>
      </c>
      <c r="D121" s="57">
        <f>+L52</f>
        <v>43.61581202671811</v>
      </c>
    </row>
    <row r="122" spans="1:4" x14ac:dyDescent="0.25">
      <c r="A122" t="s">
        <v>54</v>
      </c>
      <c r="B122" s="57">
        <f t="shared" ref="B122:B124" si="27">+$K$52</f>
        <v>31.303970478820005</v>
      </c>
      <c r="C122" s="57">
        <f>+'Res energi 2035'!N52</f>
        <v>31.146548620021143</v>
      </c>
      <c r="D122" s="57">
        <f>+N52</f>
        <v>28.756128710033501</v>
      </c>
    </row>
    <row r="123" spans="1:4" x14ac:dyDescent="0.25">
      <c r="A123" t="s">
        <v>55</v>
      </c>
      <c r="B123" s="57">
        <f t="shared" si="27"/>
        <v>31.303970478820005</v>
      </c>
      <c r="C123" s="57">
        <f>+'Res energi 2035'!P52</f>
        <v>28.98814941262977</v>
      </c>
      <c r="D123" s="57">
        <f>+P52</f>
        <v>24.069761266802349</v>
      </c>
    </row>
    <row r="124" spans="1:4" x14ac:dyDescent="0.25">
      <c r="A124" t="s">
        <v>119</v>
      </c>
      <c r="B124" s="57">
        <f t="shared" si="27"/>
        <v>31.303970478820005</v>
      </c>
      <c r="C124" s="57">
        <f>+'Res energi 2035'!R52</f>
        <v>27.258843840298443</v>
      </c>
      <c r="D124" s="57">
        <f>+R52</f>
        <v>20.343180699244311</v>
      </c>
    </row>
    <row r="127" spans="1:4" x14ac:dyDescent="0.25">
      <c r="A127" s="7" t="s">
        <v>103</v>
      </c>
      <c r="B127" s="7">
        <v>2011</v>
      </c>
      <c r="C127" s="7">
        <v>2035</v>
      </c>
      <c r="D127" s="7">
        <v>2050</v>
      </c>
    </row>
    <row r="128" spans="1:4" x14ac:dyDescent="0.25">
      <c r="A128" t="s">
        <v>136</v>
      </c>
      <c r="B128" s="57">
        <f>+$K$53</f>
        <v>33.263706394195452</v>
      </c>
      <c r="C128" s="57">
        <f>+'Res energi 2035'!L53</f>
        <v>43.583440733516269</v>
      </c>
      <c r="D128" s="57">
        <f>+L53</f>
        <v>51.143374765494883</v>
      </c>
    </row>
    <row r="129" spans="1:4" x14ac:dyDescent="0.25">
      <c r="A129" t="s">
        <v>54</v>
      </c>
      <c r="B129" s="57">
        <f t="shared" ref="B129:B131" si="28">+$K$53</f>
        <v>33.263706394195452</v>
      </c>
      <c r="C129" s="57">
        <f>+'Res energi 2035'!N53</f>
        <v>36.993713045413834</v>
      </c>
      <c r="D129" s="57">
        <f>+N53</f>
        <v>38.018492642147578</v>
      </c>
    </row>
    <row r="130" spans="1:4" x14ac:dyDescent="0.25">
      <c r="A130" t="s">
        <v>55</v>
      </c>
      <c r="B130" s="57">
        <f t="shared" si="28"/>
        <v>33.263706394195452</v>
      </c>
      <c r="C130" s="57">
        <f>+'Res energi 2035'!P53</f>
        <v>35.166941470401866</v>
      </c>
      <c r="D130" s="57">
        <f>+P53</f>
        <v>34.172985035436739</v>
      </c>
    </row>
    <row r="131" spans="1:4" x14ac:dyDescent="0.25">
      <c r="A131" t="s">
        <v>119</v>
      </c>
      <c r="B131" s="57">
        <f t="shared" si="28"/>
        <v>33.263706394195452</v>
      </c>
      <c r="C131" s="57">
        <f>+'Res energi 2035'!R53</f>
        <v>31.792645826723607</v>
      </c>
      <c r="D131" s="57">
        <f>+R53</f>
        <v>26.842212493301489</v>
      </c>
    </row>
    <row r="135" spans="1:4" x14ac:dyDescent="0.25">
      <c r="A135" s="7" t="s">
        <v>31</v>
      </c>
      <c r="B135" s="7">
        <v>2011</v>
      </c>
      <c r="C135" s="7">
        <v>2035</v>
      </c>
      <c r="D135" s="7">
        <v>2050</v>
      </c>
    </row>
    <row r="136" spans="1:4" x14ac:dyDescent="0.25">
      <c r="A136" t="s">
        <v>136</v>
      </c>
      <c r="B136" s="57">
        <f>+$K$55</f>
        <v>27.863294250302356</v>
      </c>
      <c r="C136">
        <f>+'Res energi 2035'!L55</f>
        <v>36.879063667825321</v>
      </c>
      <c r="D136" s="57">
        <f>+L55</f>
        <v>44.051580931467235</v>
      </c>
    </row>
    <row r="137" spans="1:4" x14ac:dyDescent="0.25">
      <c r="A137" t="s">
        <v>54</v>
      </c>
      <c r="B137" s="57">
        <f t="shared" ref="B137:B139" si="29">+$K$55</f>
        <v>27.863294250302356</v>
      </c>
      <c r="C137">
        <f>+'Res energi 2035'!N55</f>
        <v>31.690338574301123</v>
      </c>
      <c r="D137" s="57">
        <f>+N55</f>
        <v>33.544661878272784</v>
      </c>
    </row>
    <row r="138" spans="1:4" x14ac:dyDescent="0.25">
      <c r="A138" t="s">
        <v>55</v>
      </c>
      <c r="B138" s="57">
        <f t="shared" si="29"/>
        <v>27.863294250302356</v>
      </c>
      <c r="C138">
        <f>+'Res energi 2035'!P55</f>
        <v>30.674665985420514</v>
      </c>
      <c r="D138" s="57">
        <f>+P55</f>
        <v>31.388037485955483</v>
      </c>
    </row>
    <row r="139" spans="1:4" x14ac:dyDescent="0.25">
      <c r="A139" t="s">
        <v>119</v>
      </c>
      <c r="B139" s="57">
        <f t="shared" si="29"/>
        <v>27.863294250302356</v>
      </c>
      <c r="C139">
        <f>+'Res energi 2035'!R55</f>
        <v>28.572371913545435</v>
      </c>
      <c r="D139" s="57">
        <f>+R55</f>
        <v>26.822746759632313</v>
      </c>
    </row>
  </sheetData>
  <mergeCells count="16">
    <mergeCell ref="C50:D50"/>
    <mergeCell ref="L50:M50"/>
    <mergeCell ref="N50:O50"/>
    <mergeCell ref="P50:Q50"/>
    <mergeCell ref="R50:S50"/>
    <mergeCell ref="I50:J50"/>
    <mergeCell ref="E50:F50"/>
    <mergeCell ref="G50:H50"/>
    <mergeCell ref="U49:V49"/>
    <mergeCell ref="U48:V48"/>
    <mergeCell ref="J5:O5"/>
    <mergeCell ref="K49:S49"/>
    <mergeCell ref="B49:J49"/>
    <mergeCell ref="J16:O16"/>
    <mergeCell ref="J38:O38"/>
    <mergeCell ref="J27:O27"/>
  </mergeCells>
  <pageMargins left="0.27" right="0.27" top="0.45" bottom="0.4" header="0.31496062992125984" footer="0.31496062992125984"/>
  <pageSetup paperSize="9" scale="2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U106"/>
  <sheetViews>
    <sheetView topLeftCell="D1" workbookViewId="0">
      <selection activeCell="O101" sqref="O101"/>
    </sheetView>
  </sheetViews>
  <sheetFormatPr defaultRowHeight="15" x14ac:dyDescent="0.25"/>
  <cols>
    <col min="1" max="1" width="6" customWidth="1"/>
    <col min="2" max="2" width="28.140625" customWidth="1"/>
    <col min="7" max="7" width="13.42578125" customWidth="1"/>
    <col min="8" max="8" width="14.140625" customWidth="1"/>
  </cols>
  <sheetData>
    <row r="1" spans="1:19" ht="18.75" x14ac:dyDescent="0.3">
      <c r="A1" s="6" t="s">
        <v>378</v>
      </c>
    </row>
    <row r="2" spans="1:19" x14ac:dyDescent="0.25">
      <c r="A2" t="s">
        <v>376</v>
      </c>
    </row>
    <row r="3" spans="1:19" ht="15.75" thickBot="1" x14ac:dyDescent="0.3"/>
    <row r="4" spans="1:19" ht="18.75" x14ac:dyDescent="0.3">
      <c r="A4" s="430" t="s">
        <v>210</v>
      </c>
      <c r="B4" s="230"/>
      <c r="C4" s="1084" t="s">
        <v>184</v>
      </c>
      <c r="D4" s="1084"/>
      <c r="E4" s="1084"/>
      <c r="F4" s="1084"/>
      <c r="G4" s="1084"/>
      <c r="H4" s="1084"/>
      <c r="I4" s="1084"/>
      <c r="J4" s="1084"/>
      <c r="K4" s="338"/>
      <c r="L4" s="338"/>
      <c r="M4" s="428"/>
    </row>
    <row r="5" spans="1:19" x14ac:dyDescent="0.25">
      <c r="A5" s="12"/>
      <c r="B5" s="18"/>
      <c r="C5" s="1082" t="s">
        <v>198</v>
      </c>
      <c r="D5" s="1083"/>
      <c r="E5" s="1083"/>
      <c r="F5" s="1082" t="s">
        <v>103</v>
      </c>
      <c r="G5" s="1083"/>
      <c r="H5" s="1083"/>
      <c r="I5" s="1082" t="s">
        <v>203</v>
      </c>
      <c r="J5" s="1083"/>
      <c r="K5" s="341" t="s">
        <v>35</v>
      </c>
      <c r="L5" s="341" t="s">
        <v>34</v>
      </c>
      <c r="M5" s="429" t="s">
        <v>204</v>
      </c>
    </row>
    <row r="6" spans="1:19" x14ac:dyDescent="0.25">
      <c r="A6" s="12"/>
      <c r="B6" s="18"/>
      <c r="C6" s="344" t="s">
        <v>199</v>
      </c>
      <c r="D6" s="345" t="s">
        <v>97</v>
      </c>
      <c r="E6" s="345" t="s">
        <v>200</v>
      </c>
      <c r="F6" s="344" t="s">
        <v>201</v>
      </c>
      <c r="G6" s="345" t="s">
        <v>97</v>
      </c>
      <c r="H6" s="345" t="s">
        <v>200</v>
      </c>
      <c r="I6" s="344" t="s">
        <v>202</v>
      </c>
      <c r="J6" s="345" t="s">
        <v>116</v>
      </c>
      <c r="K6" s="344"/>
      <c r="L6" s="344"/>
      <c r="M6" s="429" t="s">
        <v>205</v>
      </c>
    </row>
    <row r="7" spans="1:19" x14ac:dyDescent="0.25">
      <c r="A7" s="12"/>
      <c r="B7" s="18" t="s">
        <v>54</v>
      </c>
      <c r="C7" s="73">
        <f>+E50</f>
        <v>20.678018871313128</v>
      </c>
      <c r="D7" s="41">
        <v>0</v>
      </c>
      <c r="E7" s="41">
        <f>+E61</f>
        <v>7.6224714344038631</v>
      </c>
      <c r="F7" s="73">
        <f>+E78</f>
        <v>5.1468185409377867</v>
      </c>
      <c r="G7" s="41">
        <v>0</v>
      </c>
      <c r="H7" s="41">
        <f>+E86</f>
        <v>6.5897276881024354</v>
      </c>
      <c r="I7" s="73">
        <f>+E96</f>
        <v>10.066293045998208</v>
      </c>
      <c r="J7" s="41">
        <f>+E86</f>
        <v>6.5897276881024354</v>
      </c>
      <c r="K7" s="66"/>
      <c r="L7" s="73">
        <f>SUM(C7:K7)</f>
        <v>56.693057268857856</v>
      </c>
      <c r="M7" s="358"/>
    </row>
    <row r="8" spans="1:19" x14ac:dyDescent="0.25">
      <c r="A8" s="12"/>
      <c r="B8" s="18" t="s">
        <v>381</v>
      </c>
      <c r="C8" s="73">
        <f>+E53</f>
        <v>26.306845659916149</v>
      </c>
      <c r="D8" s="41">
        <f>+(E36-$E$33)+(E37-$E$34)</f>
        <v>0</v>
      </c>
      <c r="E8" s="41">
        <f t="shared" ref="E8:E9" si="0">+E62</f>
        <v>9.7808706417952358</v>
      </c>
      <c r="F8" s="73">
        <f t="shared" ref="F8:F9" si="1">+E79</f>
        <v>7.376383268005732</v>
      </c>
      <c r="G8" s="41">
        <f>+E71-E70</f>
        <v>0</v>
      </c>
      <c r="H8" s="41">
        <f t="shared" ref="H8:H9" si="2">+E87</f>
        <v>8.4164992631144031</v>
      </c>
      <c r="I8" s="73">
        <f t="shared" ref="I8:I9" si="3">+E97</f>
        <v>13.892899558051965</v>
      </c>
      <c r="J8" s="41">
        <f t="shared" ref="J8:J9" si="4">+E87</f>
        <v>8.4164992631144031</v>
      </c>
      <c r="K8" s="66"/>
      <c r="L8" s="73">
        <f t="shared" ref="L8:L9" si="5">SUM(C8:K8)</f>
        <v>74.189997653997878</v>
      </c>
      <c r="M8" s="359">
        <f>+L8-$L$14</f>
        <v>70.524499708724889</v>
      </c>
    </row>
    <row r="9" spans="1:19" ht="15.75" thickBot="1" x14ac:dyDescent="0.3">
      <c r="A9" s="13"/>
      <c r="B9" s="34" t="s">
        <v>105</v>
      </c>
      <c r="C9" s="81">
        <f>+E56</f>
        <v>34.118092880914915</v>
      </c>
      <c r="D9" s="46">
        <f>+(E39-$E$33)+(E40-$E$34)</f>
        <v>0</v>
      </c>
      <c r="E9" s="46">
        <f t="shared" si="0"/>
        <v>11.510176214126563</v>
      </c>
      <c r="F9" s="81">
        <f t="shared" si="1"/>
        <v>9.7101563346803879</v>
      </c>
      <c r="G9" s="46">
        <f>+E72-E70</f>
        <v>0</v>
      </c>
      <c r="H9" s="46">
        <f t="shared" si="2"/>
        <v>11.790794906792662</v>
      </c>
      <c r="I9" s="81">
        <f t="shared" si="3"/>
        <v>19.364939738731152</v>
      </c>
      <c r="J9" s="46">
        <f t="shared" si="4"/>
        <v>11.790794906792662</v>
      </c>
      <c r="K9" s="360"/>
      <c r="L9" s="81">
        <f t="shared" si="5"/>
        <v>98.284954982038329</v>
      </c>
      <c r="M9" s="361">
        <f>+L9-$L$14</f>
        <v>94.61945703676534</v>
      </c>
    </row>
    <row r="10" spans="1:19" ht="15.75" thickBot="1" x14ac:dyDescent="0.3">
      <c r="A10" s="12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8"/>
    </row>
    <row r="11" spans="1:19" ht="18.75" x14ac:dyDescent="0.3">
      <c r="A11" s="430" t="s">
        <v>209</v>
      </c>
      <c r="B11" s="230"/>
      <c r="C11" s="1084" t="s">
        <v>184</v>
      </c>
      <c r="D11" s="1084"/>
      <c r="E11" s="1084"/>
      <c r="F11" s="1084"/>
      <c r="G11" s="1084"/>
      <c r="H11" s="1084"/>
      <c r="I11" s="1084"/>
      <c r="J11" s="1084"/>
      <c r="K11" s="338"/>
      <c r="L11" s="338"/>
      <c r="M11" s="428"/>
    </row>
    <row r="12" spans="1:19" x14ac:dyDescent="0.25">
      <c r="A12" s="12"/>
      <c r="B12" s="18"/>
      <c r="C12" s="1082" t="s">
        <v>198</v>
      </c>
      <c r="D12" s="1083"/>
      <c r="E12" s="1083"/>
      <c r="F12" s="1082" t="s">
        <v>103</v>
      </c>
      <c r="G12" s="1083"/>
      <c r="H12" s="1083"/>
      <c r="I12" s="1082" t="s">
        <v>203</v>
      </c>
      <c r="J12" s="1083"/>
      <c r="K12" s="341" t="s">
        <v>35</v>
      </c>
      <c r="L12" s="341" t="s">
        <v>34</v>
      </c>
      <c r="M12" s="429" t="s">
        <v>204</v>
      </c>
    </row>
    <row r="13" spans="1:19" x14ac:dyDescent="0.25">
      <c r="A13" s="12"/>
      <c r="B13" s="18"/>
      <c r="C13" s="344" t="s">
        <v>199</v>
      </c>
      <c r="D13" s="345" t="s">
        <v>97</v>
      </c>
      <c r="E13" s="345" t="s">
        <v>200</v>
      </c>
      <c r="F13" s="344" t="s">
        <v>201</v>
      </c>
      <c r="G13" s="345" t="s">
        <v>97</v>
      </c>
      <c r="H13" s="345" t="s">
        <v>200</v>
      </c>
      <c r="I13" s="344" t="s">
        <v>202</v>
      </c>
      <c r="J13" s="345" t="s">
        <v>116</v>
      </c>
      <c r="K13" s="344"/>
      <c r="L13" s="344"/>
      <c r="M13" s="429" t="s">
        <v>205</v>
      </c>
      <c r="N13" s="419" t="s">
        <v>97</v>
      </c>
      <c r="O13" t="s">
        <v>201</v>
      </c>
      <c r="P13" t="s">
        <v>112</v>
      </c>
      <c r="Q13" t="s">
        <v>212</v>
      </c>
      <c r="R13" t="s">
        <v>213</v>
      </c>
    </row>
    <row r="14" spans="1:19" x14ac:dyDescent="0.25">
      <c r="A14" s="12"/>
      <c r="B14" s="18" t="s">
        <v>54</v>
      </c>
      <c r="C14" s="73">
        <f>+H50</f>
        <v>2.121398955716292</v>
      </c>
      <c r="D14" s="41">
        <v>0</v>
      </c>
      <c r="E14" s="41">
        <f>+H61</f>
        <v>0.29474160119890186</v>
      </c>
      <c r="F14" s="73">
        <f>+H78</f>
        <v>0.31062453313565325</v>
      </c>
      <c r="G14" s="41">
        <f>+H70</f>
        <v>0</v>
      </c>
      <c r="H14" s="41">
        <f>+H86</f>
        <v>0.34802290097811833</v>
      </c>
      <c r="I14" s="73">
        <f>+H96</f>
        <v>0.27801772209024689</v>
      </c>
      <c r="J14" s="41">
        <f>+H104</f>
        <v>0.31269223215377112</v>
      </c>
      <c r="K14" s="66"/>
      <c r="L14" s="431">
        <f>SUM(C14:K14)</f>
        <v>3.6654979452729832</v>
      </c>
      <c r="M14" s="358"/>
      <c r="N14">
        <v>0</v>
      </c>
      <c r="O14" s="293">
        <f>+C14+F14</f>
        <v>2.4320234888519452</v>
      </c>
      <c r="P14" s="293">
        <f>+E14+H14</f>
        <v>0.64276450217702019</v>
      </c>
      <c r="Q14" s="293">
        <f>+I14</f>
        <v>0.27801772209024689</v>
      </c>
      <c r="R14" s="293">
        <f>+J14</f>
        <v>0.31269223215377112</v>
      </c>
      <c r="S14" s="293"/>
    </row>
    <row r="15" spans="1:19" x14ac:dyDescent="0.25">
      <c r="A15" s="12"/>
      <c r="B15" s="18" t="s">
        <v>381</v>
      </c>
      <c r="C15" s="73">
        <f>+H53</f>
        <v>2.9263949567185783</v>
      </c>
      <c r="D15" s="41">
        <f>+H38</f>
        <v>0</v>
      </c>
      <c r="E15" s="41">
        <f t="shared" ref="E15:E16" si="6">+H62</f>
        <v>0.44496379753039528</v>
      </c>
      <c r="F15" s="73">
        <f t="shared" ref="F15:F16" si="7">+H79</f>
        <v>0.512323139996677</v>
      </c>
      <c r="G15" s="41">
        <f t="shared" ref="G15:G16" si="8">+H71</f>
        <v>0</v>
      </c>
      <c r="H15" s="41">
        <f t="shared" ref="H15:H16" si="9">+H87</f>
        <v>0.49464079295500074</v>
      </c>
      <c r="I15" s="73">
        <f t="shared" ref="I15:I16" si="10">+H97</f>
        <v>0.44967801239064309</v>
      </c>
      <c r="J15" s="41">
        <f t="shared" ref="J15:J16" si="11">+H105</f>
        <v>0.42621219954654355</v>
      </c>
      <c r="K15" s="66"/>
      <c r="L15" s="431">
        <f t="shared" ref="L15:L16" si="12">SUM(C15:K15)</f>
        <v>5.254212899137837</v>
      </c>
      <c r="M15" s="359">
        <f>+L15-$L$14</f>
        <v>1.5887149538648537</v>
      </c>
      <c r="N15" s="293">
        <f>+D15+G15</f>
        <v>0</v>
      </c>
      <c r="O15" s="293">
        <f t="shared" ref="O15:O16" si="13">+C15+F15</f>
        <v>3.4387180967152551</v>
      </c>
      <c r="P15" s="293">
        <f t="shared" ref="P15:P16" si="14">+E15+H15</f>
        <v>0.93960459048539602</v>
      </c>
      <c r="Q15" s="293">
        <f t="shared" ref="Q15:R16" si="15">+I15</f>
        <v>0.44967801239064309</v>
      </c>
      <c r="R15" s="293">
        <f t="shared" si="15"/>
        <v>0.42621219954654355</v>
      </c>
      <c r="S15" s="293"/>
    </row>
    <row r="16" spans="1:19" ht="15.75" thickBot="1" x14ac:dyDescent="0.3">
      <c r="A16" s="13"/>
      <c r="B16" s="34" t="s">
        <v>105</v>
      </c>
      <c r="C16" s="81">
        <f>+H56</f>
        <v>4.246513584421665</v>
      </c>
      <c r="D16" s="46">
        <f>+H41</f>
        <v>0</v>
      </c>
      <c r="E16" s="46">
        <f t="shared" si="6"/>
        <v>0.59647872005910074</v>
      </c>
      <c r="F16" s="81">
        <f t="shared" si="7"/>
        <v>0.78123481395065875</v>
      </c>
      <c r="G16" s="46">
        <f t="shared" si="8"/>
        <v>0</v>
      </c>
      <c r="H16" s="46">
        <f t="shared" si="9"/>
        <v>0.84419357891712976</v>
      </c>
      <c r="I16" s="81">
        <f t="shared" si="10"/>
        <v>0.78643011752284009</v>
      </c>
      <c r="J16" s="46">
        <f t="shared" si="11"/>
        <v>0.65990994923923851</v>
      </c>
      <c r="K16" s="360"/>
      <c r="L16" s="432">
        <f t="shared" si="12"/>
        <v>7.9147607641106328</v>
      </c>
      <c r="M16" s="361">
        <f>+L16-$L$14</f>
        <v>4.24926281883765</v>
      </c>
      <c r="N16" s="293">
        <f>+D16+G16</f>
        <v>0</v>
      </c>
      <c r="O16" s="293">
        <f t="shared" si="13"/>
        <v>5.0277483983723235</v>
      </c>
      <c r="P16" s="293">
        <f t="shared" si="14"/>
        <v>1.4406722989762306</v>
      </c>
      <c r="Q16" s="293">
        <f t="shared" si="15"/>
        <v>0.78643011752284009</v>
      </c>
      <c r="R16" s="293">
        <f t="shared" si="15"/>
        <v>0.65990994923923851</v>
      </c>
      <c r="S16" s="293"/>
    </row>
    <row r="17" spans="1:21" ht="15.75" thickBot="1" x14ac:dyDescent="0.3">
      <c r="A17" s="12"/>
      <c r="B17" s="18"/>
      <c r="C17" s="41"/>
      <c r="D17" s="41"/>
      <c r="E17" s="41"/>
      <c r="F17" s="41"/>
      <c r="G17" s="41"/>
      <c r="H17" s="41"/>
      <c r="I17" s="41"/>
      <c r="J17" s="41"/>
      <c r="K17" s="18"/>
      <c r="L17" s="41"/>
      <c r="M17" s="44"/>
    </row>
    <row r="18" spans="1:21" ht="18.75" x14ac:dyDescent="0.3">
      <c r="A18" s="430" t="s">
        <v>211</v>
      </c>
      <c r="B18" s="230"/>
      <c r="C18" s="1084" t="s">
        <v>184</v>
      </c>
      <c r="D18" s="1084"/>
      <c r="E18" s="1084"/>
      <c r="F18" s="1084"/>
      <c r="G18" s="1084"/>
      <c r="H18" s="1084"/>
      <c r="I18" s="1084"/>
      <c r="J18" s="1084"/>
      <c r="K18" s="338"/>
      <c r="L18" s="338"/>
      <c r="M18" s="428"/>
    </row>
    <row r="19" spans="1:21" x14ac:dyDescent="0.25">
      <c r="A19" s="12"/>
      <c r="B19" s="18"/>
      <c r="C19" s="1082" t="s">
        <v>198</v>
      </c>
      <c r="D19" s="1083"/>
      <c r="E19" s="1083"/>
      <c r="F19" s="1082" t="s">
        <v>103</v>
      </c>
      <c r="G19" s="1083"/>
      <c r="H19" s="1083"/>
      <c r="I19" s="1082" t="s">
        <v>203</v>
      </c>
      <c r="J19" s="1083"/>
      <c r="K19" s="341" t="s">
        <v>35</v>
      </c>
      <c r="L19" s="341" t="s">
        <v>34</v>
      </c>
      <c r="M19" s="429" t="s">
        <v>204</v>
      </c>
    </row>
    <row r="20" spans="1:21" x14ac:dyDescent="0.25">
      <c r="A20" s="12"/>
      <c r="B20" s="18"/>
      <c r="C20" s="344" t="s">
        <v>199</v>
      </c>
      <c r="D20" s="345" t="s">
        <v>97</v>
      </c>
      <c r="E20" s="345" t="s">
        <v>200</v>
      </c>
      <c r="F20" s="344" t="s">
        <v>201</v>
      </c>
      <c r="G20" s="345" t="s">
        <v>97</v>
      </c>
      <c r="H20" s="345" t="s">
        <v>200</v>
      </c>
      <c r="I20" s="344" t="s">
        <v>202</v>
      </c>
      <c r="J20" s="345" t="s">
        <v>116</v>
      </c>
      <c r="K20" s="344"/>
      <c r="L20" s="344"/>
      <c r="M20" s="429" t="s">
        <v>205</v>
      </c>
    </row>
    <row r="21" spans="1:21" x14ac:dyDescent="0.25">
      <c r="A21" s="12"/>
      <c r="B21" s="18" t="s">
        <v>54</v>
      </c>
      <c r="C21" s="73">
        <f>+C14/C7*1000</f>
        <v>102.59198276771741</v>
      </c>
      <c r="D21" s="73"/>
      <c r="E21" s="73">
        <f t="shared" ref="E21:J21" si="16">+E14/E7*1000</f>
        <v>38.667458938395221</v>
      </c>
      <c r="F21" s="73">
        <f t="shared" si="16"/>
        <v>60.352726769934904</v>
      </c>
      <c r="G21" s="73"/>
      <c r="H21" s="73">
        <f t="shared" si="16"/>
        <v>52.812941209462075</v>
      </c>
      <c r="I21" s="73">
        <f t="shared" si="16"/>
        <v>27.618679569513539</v>
      </c>
      <c r="J21" s="73">
        <f t="shared" si="16"/>
        <v>47.451464909290259</v>
      </c>
      <c r="K21" s="73"/>
      <c r="L21" s="73">
        <f t="shared" ref="L21:M23" si="17">+L14/L7*1000</f>
        <v>64.655146888444193</v>
      </c>
      <c r="M21" s="358"/>
    </row>
    <row r="22" spans="1:21" x14ac:dyDescent="0.25">
      <c r="A22" s="12"/>
      <c r="B22" s="18" t="s">
        <v>381</v>
      </c>
      <c r="C22" s="73">
        <f t="shared" ref="C22:J23" si="18">+C15/C8*1000</f>
        <v>111.24081520642129</v>
      </c>
      <c r="D22" s="73"/>
      <c r="E22" s="73">
        <f t="shared" si="18"/>
        <v>45.49327087805387</v>
      </c>
      <c r="F22" s="73">
        <f t="shared" si="18"/>
        <v>69.454517394564277</v>
      </c>
      <c r="G22" s="73"/>
      <c r="H22" s="73">
        <f t="shared" si="18"/>
        <v>58.770372038500732</v>
      </c>
      <c r="I22" s="73">
        <f t="shared" si="18"/>
        <v>32.367470196674766</v>
      </c>
      <c r="J22" s="73">
        <f t="shared" si="18"/>
        <v>50.640080420898165</v>
      </c>
      <c r="K22" s="73"/>
      <c r="L22" s="73">
        <f t="shared" si="17"/>
        <v>70.821041451464495</v>
      </c>
      <c r="M22" s="359">
        <f t="shared" si="17"/>
        <v>22.527135398711764</v>
      </c>
    </row>
    <row r="23" spans="1:21" ht="15.75" thickBot="1" x14ac:dyDescent="0.3">
      <c r="A23" s="13"/>
      <c r="B23" s="34" t="s">
        <v>105</v>
      </c>
      <c r="C23" s="81">
        <f t="shared" si="18"/>
        <v>124.46515106350193</v>
      </c>
      <c r="D23" s="81"/>
      <c r="E23" s="81">
        <f t="shared" si="18"/>
        <v>51.821858237672849</v>
      </c>
      <c r="F23" s="81">
        <f t="shared" si="18"/>
        <v>80.455431099541954</v>
      </c>
      <c r="G23" s="81"/>
      <c r="H23" s="81">
        <f t="shared" si="18"/>
        <v>71.597681546541949</v>
      </c>
      <c r="I23" s="81">
        <f t="shared" si="18"/>
        <v>40.611028391166542</v>
      </c>
      <c r="J23" s="81">
        <f t="shared" si="18"/>
        <v>55.968232375839662</v>
      </c>
      <c r="K23" s="81"/>
      <c r="L23" s="81">
        <f t="shared" si="17"/>
        <v>80.528711292151101</v>
      </c>
      <c r="M23" s="361">
        <f t="shared" si="17"/>
        <v>44.908974875923846</v>
      </c>
    </row>
    <row r="25" spans="1:21" ht="15.75" thickBot="1" x14ac:dyDescent="0.3"/>
    <row r="26" spans="1:21" ht="21" x14ac:dyDescent="0.35">
      <c r="A26" s="362" t="s">
        <v>179</v>
      </c>
      <c r="B26" s="25"/>
      <c r="C26" s="25"/>
      <c r="D26" s="25"/>
      <c r="E26" s="25"/>
      <c r="F26" s="25"/>
      <c r="G26" s="25"/>
      <c r="H26" s="26"/>
    </row>
    <row r="27" spans="1:21" x14ac:dyDescent="0.25">
      <c r="A27" s="27" t="s">
        <v>206</v>
      </c>
      <c r="B27" s="14"/>
      <c r="C27" s="14"/>
      <c r="D27" s="18"/>
      <c r="E27" s="18"/>
      <c r="F27" s="18"/>
      <c r="G27" s="1026" t="s">
        <v>184</v>
      </c>
      <c r="H27" s="1027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</row>
    <row r="28" spans="1:21" x14ac:dyDescent="0.25">
      <c r="A28" s="27"/>
      <c r="B28" s="14"/>
      <c r="C28" s="14"/>
      <c r="D28" s="996" t="s">
        <v>180</v>
      </c>
      <c r="E28" s="1026" t="s">
        <v>181</v>
      </c>
      <c r="F28" s="1026"/>
      <c r="G28" s="996" t="s">
        <v>187</v>
      </c>
      <c r="H28" s="997" t="s">
        <v>185</v>
      </c>
      <c r="I28" s="305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5"/>
    </row>
    <row r="29" spans="1:21" x14ac:dyDescent="0.25">
      <c r="A29" s="27"/>
      <c r="B29" s="14"/>
      <c r="C29" s="14"/>
      <c r="D29" s="354" t="s">
        <v>1</v>
      </c>
      <c r="E29" s="354" t="s">
        <v>1</v>
      </c>
      <c r="F29" s="354" t="s">
        <v>182</v>
      </c>
      <c r="G29" s="354" t="s">
        <v>183</v>
      </c>
      <c r="H29" s="575" t="s">
        <v>186</v>
      </c>
      <c r="I29" s="305"/>
      <c r="J29" s="305"/>
      <c r="K29" s="305"/>
      <c r="L29" s="305"/>
      <c r="M29" s="305"/>
      <c r="N29" s="305"/>
      <c r="O29" s="305"/>
      <c r="P29" s="305"/>
      <c r="Q29" s="305"/>
      <c r="R29" s="305"/>
      <c r="S29" s="305"/>
      <c r="T29" s="305"/>
      <c r="U29" s="305"/>
    </row>
    <row r="30" spans="1:21" x14ac:dyDescent="0.25">
      <c r="A30" s="27"/>
      <c r="B30" s="185" t="s">
        <v>136</v>
      </c>
      <c r="C30" s="187" t="s">
        <v>59</v>
      </c>
      <c r="D30" s="368">
        <f>+Husholdninger!H40</f>
        <v>8.2759172015384532</v>
      </c>
      <c r="E30" s="369"/>
      <c r="F30" s="369"/>
      <c r="G30" s="369"/>
      <c r="H30" s="370"/>
      <c r="I30" s="305"/>
      <c r="J30" s="305"/>
      <c r="K30" s="305"/>
      <c r="L30" s="305"/>
      <c r="M30" s="305"/>
      <c r="N30" s="305"/>
      <c r="O30" s="305"/>
      <c r="P30" s="305"/>
      <c r="Q30" s="305"/>
      <c r="R30" s="305"/>
      <c r="S30" s="305"/>
      <c r="T30" s="305"/>
      <c r="U30" s="305"/>
    </row>
    <row r="31" spans="1:21" x14ac:dyDescent="0.25">
      <c r="A31" s="27"/>
      <c r="B31" s="191"/>
      <c r="C31" s="187" t="s">
        <v>60</v>
      </c>
      <c r="D31" s="368">
        <f>+Husholdninger!H44</f>
        <v>3.359952775384619</v>
      </c>
      <c r="E31" s="369"/>
      <c r="F31" s="369"/>
      <c r="G31" s="369"/>
      <c r="H31" s="370"/>
      <c r="I31" s="305"/>
      <c r="J31" s="305"/>
      <c r="K31" t="s">
        <v>208</v>
      </c>
      <c r="L31" s="305"/>
      <c r="M31" s="305"/>
      <c r="N31" s="305"/>
      <c r="O31" s="305"/>
      <c r="P31" s="305"/>
      <c r="Q31" s="305"/>
      <c r="R31" s="305"/>
      <c r="S31" s="305"/>
      <c r="T31" s="305"/>
      <c r="U31" s="305"/>
    </row>
    <row r="32" spans="1:21" x14ac:dyDescent="0.25">
      <c r="A32" s="27"/>
      <c r="B32" s="192"/>
      <c r="C32" s="193" t="s">
        <v>34</v>
      </c>
      <c r="D32" s="372">
        <f>+D30+D31</f>
        <v>11.635869976923072</v>
      </c>
      <c r="E32" s="373"/>
      <c r="F32" s="373"/>
      <c r="G32" s="373"/>
      <c r="H32" s="374"/>
      <c r="I32" s="305"/>
      <c r="J32" s="305"/>
      <c r="K32" s="305"/>
      <c r="L32" s="305"/>
      <c r="M32" s="305"/>
      <c r="N32" s="305"/>
      <c r="O32" s="305"/>
      <c r="P32" s="305"/>
      <c r="Q32" s="305"/>
      <c r="R32" s="305"/>
      <c r="S32" s="305"/>
      <c r="T32" s="305"/>
      <c r="U32" s="305"/>
    </row>
    <row r="33" spans="1:21" x14ac:dyDescent="0.25">
      <c r="A33" s="27"/>
      <c r="B33" s="185" t="s">
        <v>54</v>
      </c>
      <c r="C33" s="187" t="s">
        <v>59</v>
      </c>
      <c r="D33" s="368">
        <f>+Husholdninger!H41</f>
        <v>4.1092227771527741</v>
      </c>
      <c r="E33" s="368">
        <f>+$D$30-D33</f>
        <v>4.1666944243856792</v>
      </c>
      <c r="F33" s="16">
        <f>+E33/$D$30</f>
        <v>0.50347222222222221</v>
      </c>
      <c r="G33" s="14"/>
      <c r="H33" s="44">
        <f>+E33*G33/3.6</f>
        <v>0</v>
      </c>
      <c r="I33" s="305"/>
      <c r="J33" s="305"/>
      <c r="K33" s="305"/>
      <c r="L33" s="305"/>
      <c r="M33" s="305"/>
      <c r="N33" s="305"/>
      <c r="O33" s="305"/>
      <c r="P33" s="305"/>
      <c r="Q33" s="305"/>
      <c r="R33" s="305"/>
      <c r="S33" s="305"/>
      <c r="T33" s="305"/>
      <c r="U33" s="305"/>
    </row>
    <row r="34" spans="1:21" x14ac:dyDescent="0.25">
      <c r="A34" s="27"/>
      <c r="B34" s="191"/>
      <c r="C34" s="187" t="s">
        <v>60</v>
      </c>
      <c r="D34" s="368">
        <f>+Husholdninger!H45</f>
        <v>1.6683098850000018</v>
      </c>
      <c r="E34" s="368">
        <f>+$D$31-D34</f>
        <v>1.6916428903846172</v>
      </c>
      <c r="F34" s="16">
        <f>+E34/$D$31</f>
        <v>0.50347222222222221</v>
      </c>
      <c r="G34" s="14"/>
      <c r="H34" s="44">
        <f t="shared" ref="H34:H35" si="19">+E34*G34/3.6</f>
        <v>0</v>
      </c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</row>
    <row r="35" spans="1:21" x14ac:dyDescent="0.25">
      <c r="A35" s="27"/>
      <c r="B35" s="192"/>
      <c r="C35" s="193" t="s">
        <v>34</v>
      </c>
      <c r="D35" s="372">
        <f>+D33+D34</f>
        <v>5.7775326621527761</v>
      </c>
      <c r="E35" s="372">
        <f>+$D$32-D35</f>
        <v>5.8583373147702957</v>
      </c>
      <c r="F35" s="108">
        <f>+E35/$D$32</f>
        <v>0.5034722222222221</v>
      </c>
      <c r="G35" s="19"/>
      <c r="H35" s="45">
        <f t="shared" si="19"/>
        <v>0</v>
      </c>
      <c r="I35" s="305"/>
      <c r="J35" s="305"/>
      <c r="K35" s="305"/>
      <c r="L35" s="305"/>
      <c r="M35" s="305"/>
      <c r="N35" s="305"/>
      <c r="O35" s="305"/>
      <c r="P35" s="305"/>
      <c r="Q35" s="305"/>
      <c r="R35" s="305"/>
      <c r="S35" s="305"/>
      <c r="T35" s="305"/>
      <c r="U35" s="305"/>
    </row>
    <row r="36" spans="1:21" x14ac:dyDescent="0.25">
      <c r="A36" s="27"/>
      <c r="B36" s="185" t="s">
        <v>381</v>
      </c>
      <c r="C36" s="187" t="s">
        <v>59</v>
      </c>
      <c r="D36" s="368">
        <f>+Husholdninger!H42</f>
        <v>4.1092227771527741</v>
      </c>
      <c r="E36" s="368">
        <f>+$D$30-D36</f>
        <v>4.1666944243856792</v>
      </c>
      <c r="F36" s="16">
        <f>+E36/$D$30</f>
        <v>0.50347222222222221</v>
      </c>
      <c r="G36" s="422"/>
      <c r="H36" s="44">
        <f>+(E36-$E$33)*G36/3.6</f>
        <v>0</v>
      </c>
      <c r="I36" s="305"/>
      <c r="J36" s="305"/>
      <c r="K36" s="305"/>
      <c r="L36" s="305"/>
      <c r="M36" s="305"/>
      <c r="N36" s="305"/>
      <c r="O36" s="305"/>
      <c r="P36" s="305"/>
      <c r="Q36" s="305"/>
      <c r="R36" s="305"/>
      <c r="S36" s="305"/>
      <c r="T36" s="305"/>
      <c r="U36" s="305"/>
    </row>
    <row r="37" spans="1:21" x14ac:dyDescent="0.25">
      <c r="A37" s="27"/>
      <c r="B37" s="191"/>
      <c r="C37" s="187" t="s">
        <v>60</v>
      </c>
      <c r="D37" s="368">
        <f>+Husholdninger!H46</f>
        <v>1.6683098850000018</v>
      </c>
      <c r="E37" s="368">
        <f>+$D$31-D37</f>
        <v>1.6916428903846172</v>
      </c>
      <c r="F37" s="16">
        <f>+E37/$D$31</f>
        <v>0.50347222222222221</v>
      </c>
      <c r="G37" s="422"/>
      <c r="H37" s="44">
        <f>+(E37-$E$34)*G37/3.6</f>
        <v>0</v>
      </c>
      <c r="I37" s="305"/>
      <c r="J37" s="305"/>
      <c r="K37" s="305"/>
      <c r="L37" s="305"/>
      <c r="M37" s="305"/>
      <c r="N37" s="305"/>
      <c r="O37" s="305"/>
      <c r="P37" s="305"/>
      <c r="Q37" s="305"/>
      <c r="R37" s="305"/>
      <c r="S37" s="305"/>
      <c r="T37" s="305"/>
      <c r="U37" s="305"/>
    </row>
    <row r="38" spans="1:21" x14ac:dyDescent="0.25">
      <c r="A38" s="27"/>
      <c r="B38" s="353"/>
      <c r="C38" s="193" t="s">
        <v>34</v>
      </c>
      <c r="D38" s="372">
        <f>+D36+D37</f>
        <v>5.7775326621527761</v>
      </c>
      <c r="E38" s="372">
        <f>+$D$32-D38</f>
        <v>5.8583373147702957</v>
      </c>
      <c r="F38" s="108">
        <f>+E38/$D$32</f>
        <v>0.5034722222222221</v>
      </c>
      <c r="G38" s="423"/>
      <c r="H38" s="44">
        <f>+H36+H37</f>
        <v>0</v>
      </c>
      <c r="I38" s="305"/>
      <c r="J38" s="305"/>
      <c r="K38" s="305"/>
      <c r="L38" s="305"/>
      <c r="M38" s="305"/>
      <c r="N38" s="305"/>
      <c r="O38" s="305"/>
      <c r="P38" s="305"/>
      <c r="Q38" s="305"/>
      <c r="R38" s="305"/>
      <c r="S38" s="305"/>
      <c r="T38" s="305"/>
      <c r="U38" s="305"/>
    </row>
    <row r="39" spans="1:21" ht="15.75" thickBot="1" x14ac:dyDescent="0.3">
      <c r="A39" s="27"/>
      <c r="B39" s="185" t="s">
        <v>105</v>
      </c>
      <c r="C39" s="187" t="s">
        <v>59</v>
      </c>
      <c r="D39" s="368">
        <f>+Husholdninger!H43</f>
        <v>4.1092227771527741</v>
      </c>
      <c r="E39" s="368">
        <f>+$D$30-D39</f>
        <v>4.1666944243856792</v>
      </c>
      <c r="F39" s="16">
        <f>+E39/$D$30</f>
        <v>0.50347222222222221</v>
      </c>
      <c r="G39" s="422"/>
      <c r="H39" s="44">
        <f>+(E39-$E$33)*G39/3.6</f>
        <v>0</v>
      </c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</row>
    <row r="40" spans="1:21" x14ac:dyDescent="0.25">
      <c r="A40" s="27"/>
      <c r="B40" s="197"/>
      <c r="C40" s="187" t="s">
        <v>60</v>
      </c>
      <c r="D40" s="368">
        <f>+Husholdninger!H47</f>
        <v>1.6683098850000018</v>
      </c>
      <c r="E40" s="368">
        <f>+$D$31-D40</f>
        <v>1.6916428903846172</v>
      </c>
      <c r="F40" s="16">
        <f>+E40/$D$31</f>
        <v>0.50347222222222221</v>
      </c>
      <c r="G40" s="422"/>
      <c r="H40" s="44">
        <f>+(E40-$E$34)*G40/3.6</f>
        <v>0</v>
      </c>
      <c r="I40" s="305"/>
      <c r="J40" s="305"/>
      <c r="K40" s="60" t="s">
        <v>227</v>
      </c>
      <c r="L40" s="426"/>
      <c r="M40" s="427"/>
      <c r="N40" s="305"/>
      <c r="O40" s="305"/>
      <c r="P40" s="305"/>
      <c r="Q40" s="305"/>
      <c r="R40" s="305"/>
      <c r="S40" s="305"/>
      <c r="T40" s="305"/>
      <c r="U40" s="305"/>
    </row>
    <row r="41" spans="1:21" ht="15.75" thickBot="1" x14ac:dyDescent="0.3">
      <c r="A41" s="27"/>
      <c r="B41" s="198"/>
      <c r="C41" s="193" t="s">
        <v>34</v>
      </c>
      <c r="D41" s="372">
        <f>+D39+D40</f>
        <v>5.7775326621527761</v>
      </c>
      <c r="E41" s="372">
        <f>+$D$32-D41</f>
        <v>5.8583373147702957</v>
      </c>
      <c r="F41" s="108">
        <f>+E41/$D$32</f>
        <v>0.5034722222222221</v>
      </c>
      <c r="G41" s="19"/>
      <c r="H41" s="44">
        <f>+H39+H40</f>
        <v>0</v>
      </c>
      <c r="I41" s="305"/>
      <c r="J41" s="305"/>
      <c r="K41" s="29"/>
      <c r="L41" s="5" t="s">
        <v>222</v>
      </c>
      <c r="M41" s="32" t="s">
        <v>223</v>
      </c>
      <c r="N41" s="305"/>
      <c r="O41" s="305"/>
      <c r="P41" s="305"/>
      <c r="Q41" s="305"/>
      <c r="R41" s="305"/>
      <c r="S41" s="305"/>
      <c r="T41" s="305"/>
      <c r="U41" s="305"/>
    </row>
    <row r="42" spans="1:21" x14ac:dyDescent="0.25">
      <c r="A42" s="12"/>
      <c r="B42" s="18"/>
      <c r="C42" s="18"/>
      <c r="D42" s="18"/>
      <c r="E42" s="18"/>
      <c r="F42" s="18"/>
      <c r="G42" s="1026" t="s">
        <v>184</v>
      </c>
      <c r="H42" s="1027"/>
      <c r="K42" s="12" t="s">
        <v>59</v>
      </c>
      <c r="L42" s="18">
        <f>+'[4]2013'!T30</f>
        <v>0.27960000000000002</v>
      </c>
      <c r="M42" s="28">
        <f>+'[4]2013'!U30</f>
        <v>1.96</v>
      </c>
    </row>
    <row r="43" spans="1:21" x14ac:dyDescent="0.25">
      <c r="A43" s="27" t="s">
        <v>188</v>
      </c>
      <c r="B43" s="18"/>
      <c r="C43" s="17"/>
      <c r="D43" s="996" t="s">
        <v>180</v>
      </c>
      <c r="E43" s="1026" t="s">
        <v>181</v>
      </c>
      <c r="F43" s="1026"/>
      <c r="G43" s="996" t="s">
        <v>187</v>
      </c>
      <c r="H43" s="997" t="s">
        <v>185</v>
      </c>
      <c r="K43" s="12" t="s">
        <v>60</v>
      </c>
      <c r="L43" s="18">
        <f>+'[4]2013'!T31</f>
        <v>0.26090000000000002</v>
      </c>
      <c r="M43" s="28">
        <f>+'[4]2013'!U31</f>
        <v>1.83</v>
      </c>
    </row>
    <row r="44" spans="1:21" ht="15.75" thickBot="1" x14ac:dyDescent="0.3">
      <c r="A44" s="27"/>
      <c r="B44" s="18"/>
      <c r="C44" s="18"/>
      <c r="D44" s="354" t="s">
        <v>1</v>
      </c>
      <c r="E44" s="354" t="s">
        <v>1</v>
      </c>
      <c r="F44" s="354" t="s">
        <v>182</v>
      </c>
      <c r="G44" s="354" t="s">
        <v>183</v>
      </c>
      <c r="H44" s="575" t="s">
        <v>186</v>
      </c>
      <c r="K44" s="13" t="s">
        <v>221</v>
      </c>
      <c r="L44" s="34">
        <f>+'[4]2013'!T32</f>
        <v>0.15709999999999999</v>
      </c>
      <c r="M44" s="35">
        <f>+'[4]2013'!U32</f>
        <v>2.5499999999999998</v>
      </c>
    </row>
    <row r="45" spans="1:21" ht="15.75" thickBot="1" x14ac:dyDescent="0.3">
      <c r="A45" s="12"/>
      <c r="B45" s="185" t="s">
        <v>136</v>
      </c>
      <c r="C45" s="187" t="s">
        <v>59</v>
      </c>
      <c r="D45" s="189">
        <f>+Husholdninger!I40</f>
        <v>96.347532697199824</v>
      </c>
      <c r="E45" s="127"/>
      <c r="F45" s="127"/>
      <c r="G45" s="127"/>
      <c r="H45" s="363"/>
    </row>
    <row r="46" spans="1:21" x14ac:dyDescent="0.25">
      <c r="A46" s="12"/>
      <c r="B46" s="191"/>
      <c r="C46" s="187" t="s">
        <v>60</v>
      </c>
      <c r="D46" s="189">
        <f>+Husholdninger!I44</f>
        <v>37.58848352971598</v>
      </c>
      <c r="E46" s="127"/>
      <c r="F46" s="127"/>
      <c r="G46" s="127"/>
      <c r="H46" s="363"/>
      <c r="K46" s="60" t="s">
        <v>225</v>
      </c>
      <c r="L46" s="25"/>
      <c r="M46" s="26"/>
    </row>
    <row r="47" spans="1:21" x14ac:dyDescent="0.25">
      <c r="A47" s="12"/>
      <c r="B47" s="192"/>
      <c r="C47" s="193" t="s">
        <v>34</v>
      </c>
      <c r="D47" s="195">
        <f>+D45+D46</f>
        <v>133.9360162269158</v>
      </c>
      <c r="E47" s="352"/>
      <c r="F47" s="352"/>
      <c r="G47" s="127"/>
      <c r="H47" s="363"/>
      <c r="I47" s="5"/>
      <c r="K47" s="113"/>
      <c r="L47" s="5" t="s">
        <v>222</v>
      </c>
      <c r="M47" s="32" t="s">
        <v>224</v>
      </c>
    </row>
    <row r="48" spans="1:21" x14ac:dyDescent="0.25">
      <c r="A48" s="12"/>
      <c r="B48" s="185" t="s">
        <v>54</v>
      </c>
      <c r="C48" s="187" t="s">
        <v>59</v>
      </c>
      <c r="D48" s="189">
        <f>+Husholdninger!I41</f>
        <v>81.472698015378157</v>
      </c>
      <c r="E48" s="43">
        <f>+$D$45-D48</f>
        <v>14.874834681821667</v>
      </c>
      <c r="F48" s="16">
        <f>+E48/$D$45</f>
        <v>0.15438729218495056</v>
      </c>
      <c r="G48" s="364">
        <f>$L$42*EXP($M$42*F48)</f>
        <v>0.37840274941309066</v>
      </c>
      <c r="H48" s="44">
        <f>+E48*G48/3.6</f>
        <v>1.563521761296254</v>
      </c>
      <c r="K48" s="12" t="s">
        <v>116</v>
      </c>
      <c r="L48" s="18">
        <v>0.1293</v>
      </c>
      <c r="M48" s="28">
        <v>2.5499999999999998</v>
      </c>
    </row>
    <row r="49" spans="1:13" ht="15.75" thickBot="1" x14ac:dyDescent="0.3">
      <c r="A49" s="12"/>
      <c r="B49" s="191"/>
      <c r="C49" s="187" t="s">
        <v>60</v>
      </c>
      <c r="D49" s="189">
        <f>+Husholdninger!I45</f>
        <v>31.785299340224515</v>
      </c>
      <c r="E49" s="43">
        <f>+$D$46-D49</f>
        <v>5.8031841894914642</v>
      </c>
      <c r="F49" s="16">
        <f>+E49/$D$46</f>
        <v>0.15438729218495059</v>
      </c>
      <c r="G49" s="364">
        <f>+$L$43*EXP($M$43*F49)</f>
        <v>0.34607860690496706</v>
      </c>
      <c r="H49" s="44">
        <f>+E49*G49/3.6</f>
        <v>0.5578771944200378</v>
      </c>
      <c r="K49" s="13" t="s">
        <v>220</v>
      </c>
      <c r="L49" s="34">
        <v>6.5500000000000003E-2</v>
      </c>
      <c r="M49" s="35">
        <v>3.82</v>
      </c>
    </row>
    <row r="50" spans="1:13" x14ac:dyDescent="0.25">
      <c r="A50" s="12"/>
      <c r="B50" s="192"/>
      <c r="C50" s="193" t="s">
        <v>34</v>
      </c>
      <c r="D50" s="195">
        <f>+D48+D49</f>
        <v>113.25799735560267</v>
      </c>
      <c r="E50" s="323">
        <f>+$D$47-D50</f>
        <v>20.678018871313128</v>
      </c>
      <c r="F50" s="108">
        <f>+E50/$D$47</f>
        <v>0.15438729218495056</v>
      </c>
      <c r="G50" s="355"/>
      <c r="H50" s="45">
        <f>SUM(H48:H49)</f>
        <v>2.121398955716292</v>
      </c>
      <c r="I50" s="5"/>
    </row>
    <row r="51" spans="1:13" ht="15.75" thickBot="1" x14ac:dyDescent="0.3">
      <c r="A51" s="12"/>
      <c r="B51" s="185" t="s">
        <v>381</v>
      </c>
      <c r="C51" s="187" t="s">
        <v>59</v>
      </c>
      <c r="D51" s="189">
        <f>+Husholdninger!I42</f>
        <v>77.423573751871658</v>
      </c>
      <c r="E51" s="43">
        <f>+$D$45-D51</f>
        <v>18.923958945328167</v>
      </c>
      <c r="F51" s="16">
        <f>+E51/$D$45</f>
        <v>0.19641352939262305</v>
      </c>
      <c r="G51" s="364">
        <f>$L$42*EXP($M$42*F51)</f>
        <v>0.41089205001651113</v>
      </c>
      <c r="H51" s="44">
        <f>+E51*G51/3.6</f>
        <v>2.1599178570761621</v>
      </c>
    </row>
    <row r="52" spans="1:13" x14ac:dyDescent="0.25">
      <c r="A52" s="12"/>
      <c r="B52" s="191"/>
      <c r="C52" s="187" t="s">
        <v>60</v>
      </c>
      <c r="D52" s="189">
        <f>+Husholdninger!I46</f>
        <v>30.205596815127993</v>
      </c>
      <c r="E52" s="43">
        <f>+$D$46-D52</f>
        <v>7.3828867145879862</v>
      </c>
      <c r="F52" s="16">
        <f>+E52/$D$46</f>
        <v>0.19641352939262277</v>
      </c>
      <c r="G52" s="364">
        <f>+$L$43*EXP($M$43*F52)</f>
        <v>0.37374507633450621</v>
      </c>
      <c r="H52" s="44">
        <f>+E52*G52/3.6</f>
        <v>0.76647709964241628</v>
      </c>
      <c r="K52" s="60" t="s">
        <v>226</v>
      </c>
      <c r="L52" s="25"/>
      <c r="M52" s="26"/>
    </row>
    <row r="53" spans="1:13" x14ac:dyDescent="0.25">
      <c r="A53" s="12"/>
      <c r="B53" s="353"/>
      <c r="C53" s="193" t="s">
        <v>34</v>
      </c>
      <c r="D53" s="195">
        <f>+D51+D52</f>
        <v>107.62917056699965</v>
      </c>
      <c r="E53" s="323">
        <f>+$D$47-D53</f>
        <v>26.306845659916149</v>
      </c>
      <c r="F53" s="108">
        <f>+E53/$D$47</f>
        <v>0.19641352939262294</v>
      </c>
      <c r="G53" s="355"/>
      <c r="H53" s="45">
        <f>SUM(H51:H52)</f>
        <v>2.9263949567185783</v>
      </c>
      <c r="I53" s="5"/>
      <c r="K53" s="12"/>
      <c r="L53" s="5" t="s">
        <v>222</v>
      </c>
      <c r="M53" s="32" t="s">
        <v>224</v>
      </c>
    </row>
    <row r="54" spans="1:13" ht="15.75" thickBot="1" x14ac:dyDescent="0.3">
      <c r="A54" s="12"/>
      <c r="B54" s="185" t="s">
        <v>105</v>
      </c>
      <c r="C54" s="187" t="s">
        <v>59</v>
      </c>
      <c r="D54" s="189">
        <f>+Husholdninger!I43</f>
        <v>71.804514605330851</v>
      </c>
      <c r="E54" s="43">
        <f>+$D$45-D54</f>
        <v>24.543018091868973</v>
      </c>
      <c r="F54" s="16">
        <f>+E54/$D$45</f>
        <v>0.25473426671965282</v>
      </c>
      <c r="G54" s="364">
        <f>$L$42*EXP($M$42*F54)</f>
        <v>0.46065029369912502</v>
      </c>
      <c r="H54" s="44">
        <f>+E54*G54/3.6</f>
        <v>3.1404856923006612</v>
      </c>
      <c r="K54" s="13" t="s">
        <v>116</v>
      </c>
      <c r="L54" s="34">
        <v>7.8399999999999997E-2</v>
      </c>
      <c r="M54" s="35">
        <v>2.92</v>
      </c>
    </row>
    <row r="55" spans="1:13" x14ac:dyDescent="0.25">
      <c r="A55" s="12"/>
      <c r="B55" s="197"/>
      <c r="C55" s="187" t="s">
        <v>60</v>
      </c>
      <c r="D55" s="189">
        <f>+Husholdninger!I47</f>
        <v>28.013408740670034</v>
      </c>
      <c r="E55" s="43">
        <f>+$D$46-D55</f>
        <v>9.5750747890459458</v>
      </c>
      <c r="F55" s="16">
        <f>+E55/$D$46</f>
        <v>0.25473426671965277</v>
      </c>
      <c r="G55" s="364">
        <f>+$L$43*EXP($M$43*F55)</f>
        <v>0.41584013695545746</v>
      </c>
      <c r="H55" s="44">
        <f>+E55*G55/3.6</f>
        <v>1.1060278921210038</v>
      </c>
    </row>
    <row r="56" spans="1:13" ht="15.75" thickBot="1" x14ac:dyDescent="0.3">
      <c r="A56" s="12"/>
      <c r="B56" s="198"/>
      <c r="C56" s="200" t="s">
        <v>34</v>
      </c>
      <c r="D56" s="189">
        <f>+D54+D55</f>
        <v>99.817923346000882</v>
      </c>
      <c r="E56" s="43">
        <f>+$D$47-D56</f>
        <v>34.118092880914915</v>
      </c>
      <c r="F56" s="16">
        <f>+E56/$D$47</f>
        <v>0.25473426671965282</v>
      </c>
      <c r="G56" s="18"/>
      <c r="H56" s="44">
        <f>SUM(H54:H55)</f>
        <v>4.246513584421665</v>
      </c>
    </row>
    <row r="57" spans="1:13" x14ac:dyDescent="0.25">
      <c r="A57" s="27" t="s">
        <v>189</v>
      </c>
      <c r="B57" s="18"/>
      <c r="C57" s="18"/>
      <c r="D57" s="18"/>
      <c r="E57" s="18"/>
      <c r="F57" s="18"/>
      <c r="G57" s="1026" t="s">
        <v>184</v>
      </c>
      <c r="H57" s="1027"/>
      <c r="J57" s="18"/>
      <c r="K57" s="18"/>
      <c r="L57" s="18"/>
    </row>
    <row r="58" spans="1:13" x14ac:dyDescent="0.25">
      <c r="A58" s="12"/>
      <c r="B58" s="18"/>
      <c r="C58" s="18"/>
      <c r="D58" s="17" t="s">
        <v>190</v>
      </c>
      <c r="E58" s="365" t="s">
        <v>181</v>
      </c>
      <c r="F58" s="365"/>
      <c r="G58" s="996" t="s">
        <v>187</v>
      </c>
      <c r="H58" s="997" t="s">
        <v>185</v>
      </c>
      <c r="J58" s="18"/>
      <c r="K58" s="18"/>
      <c r="L58" s="18"/>
    </row>
    <row r="59" spans="1:13" x14ac:dyDescent="0.25">
      <c r="A59" s="12"/>
      <c r="B59" s="18"/>
      <c r="C59" s="18"/>
      <c r="D59" s="11" t="s">
        <v>1</v>
      </c>
      <c r="E59" s="11" t="s">
        <v>1</v>
      </c>
      <c r="F59" s="11" t="s">
        <v>191</v>
      </c>
      <c r="G59" s="354" t="s">
        <v>183</v>
      </c>
      <c r="H59" s="575" t="s">
        <v>186</v>
      </c>
      <c r="J59" s="18"/>
      <c r="K59" s="18"/>
      <c r="L59" s="18"/>
    </row>
    <row r="60" spans="1:13" x14ac:dyDescent="0.25">
      <c r="A60" s="12"/>
      <c r="B60" s="18" t="s">
        <v>136</v>
      </c>
      <c r="C60" s="18"/>
      <c r="D60" s="41">
        <f>+Husholdninger!K65</f>
        <v>38.769020054425006</v>
      </c>
      <c r="E60" s="127"/>
      <c r="F60" s="127"/>
      <c r="G60" s="127"/>
      <c r="H60" s="363"/>
    </row>
    <row r="61" spans="1:13" x14ac:dyDescent="0.25">
      <c r="A61" s="12"/>
      <c r="B61" s="18" t="s">
        <v>54</v>
      </c>
      <c r="C61" s="18"/>
      <c r="D61" s="41">
        <f>+Husholdninger!L65</f>
        <v>31.146548620021143</v>
      </c>
      <c r="E61" s="41">
        <f>+$D$60-D61</f>
        <v>7.6224714344038631</v>
      </c>
      <c r="F61" s="16">
        <f>+E61/$D$60</f>
        <v>0.19661243497264647</v>
      </c>
      <c r="G61" s="371">
        <f>+$L$54*EXP($M$54*F61)</f>
        <v>0.13920285217822279</v>
      </c>
      <c r="H61" s="44">
        <f>+E61*G61/3.6</f>
        <v>0.29474160119890186</v>
      </c>
    </row>
    <row r="62" spans="1:13" x14ac:dyDescent="0.25">
      <c r="A62" s="12"/>
      <c r="B62" s="18" t="s">
        <v>381</v>
      </c>
      <c r="C62" s="18"/>
      <c r="D62" s="41">
        <f>+Husholdninger!M65</f>
        <v>28.98814941262977</v>
      </c>
      <c r="E62" s="41">
        <f>+$D$60-D62</f>
        <v>9.7808706417952358</v>
      </c>
      <c r="F62" s="16">
        <f>+E62/$D$60</f>
        <v>0.25228573299156343</v>
      </c>
      <c r="G62" s="371">
        <f t="shared" ref="G62:G63" si="20">+$L$54*EXP($M$54*F62)</f>
        <v>0.16377577516099395</v>
      </c>
      <c r="H62" s="44">
        <f t="shared" ref="H62:H63" si="21">+E62*G62/3.6</f>
        <v>0.44496379753039528</v>
      </c>
    </row>
    <row r="63" spans="1:13" ht="15.75" thickBot="1" x14ac:dyDescent="0.3">
      <c r="A63" s="13"/>
      <c r="B63" s="34" t="s">
        <v>105</v>
      </c>
      <c r="C63" s="34"/>
      <c r="D63" s="46">
        <f>+Husholdninger!N65</f>
        <v>27.258843840298443</v>
      </c>
      <c r="E63" s="46">
        <f>+$D$60-D63</f>
        <v>11.510176214126563</v>
      </c>
      <c r="F63" s="61">
        <f>+E63/$D$60</f>
        <v>0.29689107947449445</v>
      </c>
      <c r="G63" s="380">
        <f t="shared" si="20"/>
        <v>0.18655868965562228</v>
      </c>
      <c r="H63" s="47">
        <f t="shared" si="21"/>
        <v>0.59647872005910074</v>
      </c>
    </row>
    <row r="64" spans="1:13" ht="15.75" thickBot="1" x14ac:dyDescent="0.3"/>
    <row r="65" spans="1:12" ht="18.75" x14ac:dyDescent="0.3">
      <c r="A65" s="218" t="s">
        <v>192</v>
      </c>
      <c r="B65" s="25"/>
      <c r="C65" s="25"/>
      <c r="D65" s="25"/>
      <c r="E65" s="25"/>
      <c r="F65" s="25"/>
      <c r="G65" s="25"/>
      <c r="H65" s="26"/>
    </row>
    <row r="66" spans="1:12" x14ac:dyDescent="0.25">
      <c r="A66" s="27" t="s">
        <v>206</v>
      </c>
      <c r="B66" s="14"/>
      <c r="C66" s="14"/>
      <c r="D66" s="18"/>
      <c r="E66" s="18"/>
      <c r="F66" s="18"/>
      <c r="G66" s="1026" t="s">
        <v>184</v>
      </c>
      <c r="H66" s="1027"/>
    </row>
    <row r="67" spans="1:12" x14ac:dyDescent="0.25">
      <c r="A67" s="27"/>
      <c r="B67" s="14"/>
      <c r="C67" s="14"/>
      <c r="D67" s="996" t="s">
        <v>180</v>
      </c>
      <c r="E67" s="1026" t="s">
        <v>181</v>
      </c>
      <c r="F67" s="1026"/>
      <c r="G67" s="996" t="s">
        <v>187</v>
      </c>
      <c r="H67" s="997" t="s">
        <v>185</v>
      </c>
    </row>
    <row r="68" spans="1:12" x14ac:dyDescent="0.25">
      <c r="A68" s="27"/>
      <c r="B68" s="14"/>
      <c r="C68" s="14"/>
      <c r="D68" s="354" t="s">
        <v>1</v>
      </c>
      <c r="E68" s="354" t="s">
        <v>1</v>
      </c>
      <c r="F68" s="354" t="s">
        <v>182</v>
      </c>
      <c r="G68" s="354" t="s">
        <v>183</v>
      </c>
      <c r="H68" s="575" t="s">
        <v>186</v>
      </c>
    </row>
    <row r="69" spans="1:12" x14ac:dyDescent="0.25">
      <c r="A69" s="27"/>
      <c r="B69" s="18" t="s">
        <v>136</v>
      </c>
      <c r="C69" s="14"/>
      <c r="D69" s="368">
        <f>+'H&amp;S'!N24</f>
        <v>4.849937572560564</v>
      </c>
      <c r="E69" s="369"/>
      <c r="F69" s="369"/>
      <c r="G69" s="369"/>
      <c r="H69" s="370"/>
    </row>
    <row r="70" spans="1:12" x14ac:dyDescent="0.25">
      <c r="A70" s="27"/>
      <c r="B70" s="18" t="s">
        <v>54</v>
      </c>
      <c r="C70" s="14"/>
      <c r="D70" s="368">
        <f>+'H&amp;S'!N25</f>
        <v>4.849937572560564</v>
      </c>
      <c r="E70" s="368">
        <f>+$D$69-D70</f>
        <v>0</v>
      </c>
      <c r="F70" s="16">
        <f>+E70/$D$69</f>
        <v>0</v>
      </c>
      <c r="G70" s="14"/>
      <c r="H70" s="44">
        <f>+E70*G70/3.6</f>
        <v>0</v>
      </c>
    </row>
    <row r="71" spans="1:12" x14ac:dyDescent="0.25">
      <c r="A71" s="27"/>
      <c r="B71" s="18" t="s">
        <v>381</v>
      </c>
      <c r="C71" s="14"/>
      <c r="D71" s="368">
        <f>+'H&amp;S'!N26</f>
        <v>4.849937572560564</v>
      </c>
      <c r="E71" s="368">
        <f t="shared" ref="E71:E72" si="22">+$D$69-D71</f>
        <v>0</v>
      </c>
      <c r="F71" s="16">
        <f t="shared" ref="F71:F72" si="23">+E71/$D$69</f>
        <v>0</v>
      </c>
      <c r="G71" s="424"/>
      <c r="H71" s="44">
        <f>+(E71-$E$70)*G71/3.6</f>
        <v>0</v>
      </c>
    </row>
    <row r="72" spans="1:12" x14ac:dyDescent="0.25">
      <c r="A72" s="27"/>
      <c r="B72" s="18" t="s">
        <v>105</v>
      </c>
      <c r="C72" s="14"/>
      <c r="D72" s="368">
        <f>+'H&amp;S'!N27</f>
        <v>4.849937572560564</v>
      </c>
      <c r="E72" s="368">
        <f t="shared" si="22"/>
        <v>0</v>
      </c>
      <c r="F72" s="16">
        <f t="shared" si="23"/>
        <v>0</v>
      </c>
      <c r="G72" s="424"/>
      <c r="H72" s="44">
        <f>+(E72-$E$70)*G72/3.6</f>
        <v>0</v>
      </c>
    </row>
    <row r="73" spans="1:12" x14ac:dyDescent="0.25">
      <c r="A73" s="31"/>
      <c r="B73" s="14"/>
      <c r="C73" s="14"/>
      <c r="D73" s="14"/>
      <c r="E73" s="14"/>
      <c r="F73" s="14"/>
      <c r="G73" s="14"/>
      <c r="H73" s="367"/>
    </row>
    <row r="74" spans="1:12" x14ac:dyDescent="0.25">
      <c r="A74" s="27" t="s">
        <v>193</v>
      </c>
      <c r="B74" s="18"/>
      <c r="C74" s="18"/>
      <c r="D74" s="18"/>
      <c r="E74" s="18"/>
      <c r="F74" s="18"/>
      <c r="G74" s="1026" t="s">
        <v>184</v>
      </c>
      <c r="H74" s="1027"/>
    </row>
    <row r="75" spans="1:12" x14ac:dyDescent="0.25">
      <c r="A75" s="12"/>
      <c r="B75" s="18"/>
      <c r="C75" s="18"/>
      <c r="D75" s="996" t="s">
        <v>180</v>
      </c>
      <c r="E75" s="1026" t="s">
        <v>181</v>
      </c>
      <c r="F75" s="1026"/>
      <c r="G75" s="996" t="s">
        <v>187</v>
      </c>
      <c r="H75" s="997" t="s">
        <v>185</v>
      </c>
    </row>
    <row r="76" spans="1:12" x14ac:dyDescent="0.25">
      <c r="A76" s="12"/>
      <c r="B76" s="18"/>
      <c r="C76" s="18"/>
      <c r="D76" s="354" t="s">
        <v>1</v>
      </c>
      <c r="E76" s="354" t="s">
        <v>1</v>
      </c>
      <c r="F76" s="354" t="s">
        <v>182</v>
      </c>
      <c r="G76" s="354" t="s">
        <v>183</v>
      </c>
      <c r="H76" s="575" t="s">
        <v>186</v>
      </c>
    </row>
    <row r="77" spans="1:12" x14ac:dyDescent="0.25">
      <c r="A77" s="12"/>
      <c r="B77" s="18" t="s">
        <v>136</v>
      </c>
      <c r="C77" s="18"/>
      <c r="D77" s="41">
        <f>+'H&amp;S'!O24</f>
        <v>40.475209177976794</v>
      </c>
      <c r="E77" s="127"/>
      <c r="F77" s="127"/>
      <c r="G77" s="127"/>
      <c r="H77" s="363"/>
      <c r="J77" s="293"/>
    </row>
    <row r="78" spans="1:12" x14ac:dyDescent="0.25">
      <c r="A78" s="12"/>
      <c r="B78" s="18" t="s">
        <v>54</v>
      </c>
      <c r="C78" s="18"/>
      <c r="D78" s="41">
        <f>+'H&amp;S'!O25</f>
        <v>35.328390637039007</v>
      </c>
      <c r="E78" s="41">
        <f>+$D$77-D78</f>
        <v>5.1468185409377867</v>
      </c>
      <c r="F78" s="16">
        <f>+E78/$D$77</f>
        <v>0.12715977620538779</v>
      </c>
      <c r="G78" s="364">
        <f>+$L$44*EXP($M$44*F78)</f>
        <v>0.21726981637176562</v>
      </c>
      <c r="H78" s="44">
        <f>+E78*G78/3.6</f>
        <v>0.31062453313565325</v>
      </c>
      <c r="J78" s="293"/>
    </row>
    <row r="79" spans="1:12" x14ac:dyDescent="0.25">
      <c r="A79" s="12"/>
      <c r="B79" s="18" t="s">
        <v>384</v>
      </c>
      <c r="C79" s="18"/>
      <c r="D79" s="41">
        <f>+'H&amp;S'!O26</f>
        <v>33.098825909971062</v>
      </c>
      <c r="E79" s="41">
        <f t="shared" ref="E79:E80" si="24">+$D$77-D79</f>
        <v>7.376383268005732</v>
      </c>
      <c r="F79" s="16">
        <f t="shared" ref="F79:F80" si="25">+E79/$D$77</f>
        <v>0.18224447551513431</v>
      </c>
      <c r="G79" s="364">
        <f t="shared" ref="G79:G80" si="26">+$L$44*EXP($M$44*F79)</f>
        <v>0.25003626262043138</v>
      </c>
      <c r="H79" s="44">
        <f t="shared" ref="H79:H80" si="27">+E79*G79/3.6</f>
        <v>0.512323139996677</v>
      </c>
      <c r="J79" s="293"/>
    </row>
    <row r="80" spans="1:12" x14ac:dyDescent="0.25">
      <c r="A80" s="12"/>
      <c r="B80" s="18" t="s">
        <v>105</v>
      </c>
      <c r="C80" s="18"/>
      <c r="D80" s="41">
        <f>+'H&amp;S'!O27</f>
        <v>30.765052843296406</v>
      </c>
      <c r="E80" s="41">
        <f t="shared" si="24"/>
        <v>9.7101563346803879</v>
      </c>
      <c r="F80" s="16">
        <f t="shared" si="25"/>
        <v>0.23990379622210423</v>
      </c>
      <c r="G80" s="364">
        <f t="shared" si="26"/>
        <v>0.289639551958351</v>
      </c>
      <c r="H80" s="44">
        <f t="shared" si="27"/>
        <v>0.78123481395065875</v>
      </c>
      <c r="J80" s="293"/>
      <c r="L80" s="293"/>
    </row>
    <row r="81" spans="1:11" x14ac:dyDescent="0.25">
      <c r="A81" s="12"/>
      <c r="B81" s="18"/>
      <c r="C81" s="18"/>
      <c r="D81" s="18"/>
      <c r="E81" s="18"/>
      <c r="F81" s="18"/>
      <c r="G81" s="18"/>
      <c r="H81" s="28"/>
    </row>
    <row r="82" spans="1:11" x14ac:dyDescent="0.25">
      <c r="A82" s="27" t="s">
        <v>189</v>
      </c>
      <c r="B82" s="18"/>
      <c r="C82" s="18"/>
      <c r="D82" s="18"/>
      <c r="E82" s="18"/>
      <c r="F82" s="18"/>
      <c r="G82" s="1026" t="s">
        <v>184</v>
      </c>
      <c r="H82" s="1027"/>
    </row>
    <row r="83" spans="1:11" x14ac:dyDescent="0.25">
      <c r="A83" s="12"/>
      <c r="B83" s="18"/>
      <c r="C83" s="18"/>
      <c r="D83" s="996" t="s">
        <v>180</v>
      </c>
      <c r="E83" s="1026" t="s">
        <v>181</v>
      </c>
      <c r="F83" s="1026"/>
      <c r="G83" s="996" t="s">
        <v>187</v>
      </c>
      <c r="H83" s="997" t="s">
        <v>185</v>
      </c>
    </row>
    <row r="84" spans="1:11" x14ac:dyDescent="0.25">
      <c r="A84" s="12"/>
      <c r="B84" s="18"/>
      <c r="C84" s="18"/>
      <c r="D84" s="354" t="s">
        <v>1</v>
      </c>
      <c r="E84" s="354" t="s">
        <v>1</v>
      </c>
      <c r="F84" s="354" t="s">
        <v>182</v>
      </c>
      <c r="G84" s="354" t="s">
        <v>183</v>
      </c>
      <c r="H84" s="575" t="s">
        <v>186</v>
      </c>
    </row>
    <row r="85" spans="1:11" x14ac:dyDescent="0.25">
      <c r="A85" s="12"/>
      <c r="B85" s="18" t="s">
        <v>136</v>
      </c>
      <c r="C85" s="18"/>
      <c r="D85" s="41">
        <f>+'H&amp;S'!K42</f>
        <v>43.583440733516269</v>
      </c>
      <c r="E85" s="127"/>
      <c r="F85" s="127"/>
      <c r="G85" s="127"/>
      <c r="H85" s="363"/>
      <c r="J85" s="7"/>
    </row>
    <row r="86" spans="1:11" x14ac:dyDescent="0.25">
      <c r="A86" s="12"/>
      <c r="B86" s="18" t="s">
        <v>54</v>
      </c>
      <c r="C86" s="18"/>
      <c r="D86" s="41">
        <f>+'H&amp;S'!L42</f>
        <v>36.993713045413834</v>
      </c>
      <c r="E86" s="41">
        <f>+$D$85-D86</f>
        <v>6.5897276881024354</v>
      </c>
      <c r="F86" s="16">
        <f>+E86/$D$85</f>
        <v>0.15119796824656948</v>
      </c>
      <c r="G86" s="371">
        <f>+$L$48*EXP($M$48*F86)</f>
        <v>0.19012658835406346</v>
      </c>
      <c r="H86" s="44">
        <f>+E86*G86/3.6</f>
        <v>0.34802290097811833</v>
      </c>
    </row>
    <row r="87" spans="1:11" x14ac:dyDescent="0.25">
      <c r="A87" s="12"/>
      <c r="B87" s="18" t="s">
        <v>384</v>
      </c>
      <c r="C87" s="18"/>
      <c r="D87" s="41">
        <f>+'H&amp;S'!M42</f>
        <v>35.166941470401866</v>
      </c>
      <c r="E87" s="41">
        <f t="shared" ref="E87:E88" si="28">+$D$85-D87</f>
        <v>8.4164992631144031</v>
      </c>
      <c r="F87" s="16">
        <f t="shared" ref="F87:F88" si="29">+E87/$D$85</f>
        <v>0.19311231792312347</v>
      </c>
      <c r="G87" s="371">
        <f t="shared" ref="G87:G88" si="30">+$L$48*EXP($M$48*F87)</f>
        <v>0.21157333933860265</v>
      </c>
      <c r="H87" s="44">
        <f t="shared" ref="H87:H88" si="31">+E87*G87/3.6</f>
        <v>0.49464079295500074</v>
      </c>
    </row>
    <row r="88" spans="1:11" ht="15.75" thickBot="1" x14ac:dyDescent="0.3">
      <c r="A88" s="13"/>
      <c r="B88" s="34" t="s">
        <v>105</v>
      </c>
      <c r="C88" s="34"/>
      <c r="D88" s="46">
        <f>+'H&amp;S'!N42</f>
        <v>31.792645826723607</v>
      </c>
      <c r="E88" s="46">
        <f t="shared" si="28"/>
        <v>11.790794906792662</v>
      </c>
      <c r="F88" s="61">
        <f t="shared" si="29"/>
        <v>0.27053382450654884</v>
      </c>
      <c r="G88" s="380">
        <f t="shared" si="30"/>
        <v>0.25775165356755103</v>
      </c>
      <c r="H88" s="47">
        <f t="shared" si="31"/>
        <v>0.84419357891712976</v>
      </c>
    </row>
    <row r="89" spans="1:11" ht="15.75" thickBot="1" x14ac:dyDescent="0.3"/>
    <row r="90" spans="1:11" ht="18.75" x14ac:dyDescent="0.3">
      <c r="A90" s="218" t="s">
        <v>194</v>
      </c>
      <c r="B90" s="25"/>
      <c r="C90" s="25"/>
      <c r="D90" s="25"/>
      <c r="E90" s="25"/>
      <c r="F90" s="25"/>
      <c r="G90" s="25"/>
      <c r="H90" s="26"/>
    </row>
    <row r="91" spans="1:11" x14ac:dyDescent="0.25">
      <c r="A91" s="12"/>
      <c r="B91" s="18"/>
      <c r="C91" s="18"/>
      <c r="D91" s="18"/>
      <c r="E91" s="18"/>
      <c r="F91" s="18"/>
      <c r="G91" s="18"/>
      <c r="H91" s="28"/>
    </row>
    <row r="92" spans="1:11" x14ac:dyDescent="0.25">
      <c r="A92" s="27" t="s">
        <v>195</v>
      </c>
      <c r="B92" s="18"/>
      <c r="C92" s="18"/>
      <c r="D92" s="18"/>
      <c r="E92" s="18"/>
      <c r="F92" s="18"/>
      <c r="G92" s="1026" t="s">
        <v>184</v>
      </c>
      <c r="H92" s="1027"/>
    </row>
    <row r="93" spans="1:11" x14ac:dyDescent="0.25">
      <c r="A93" s="12"/>
      <c r="B93" s="18"/>
      <c r="C93" s="18"/>
      <c r="D93" s="996" t="s">
        <v>180</v>
      </c>
      <c r="E93" s="1026" t="s">
        <v>181</v>
      </c>
      <c r="F93" s="1026"/>
      <c r="G93" s="996" t="s">
        <v>187</v>
      </c>
      <c r="H93" s="997" t="s">
        <v>185</v>
      </c>
    </row>
    <row r="94" spans="1:11" x14ac:dyDescent="0.25">
      <c r="A94" s="12"/>
      <c r="B94" s="18"/>
      <c r="C94" s="18"/>
      <c r="D94" s="354" t="s">
        <v>1</v>
      </c>
      <c r="E94" s="354" t="s">
        <v>1</v>
      </c>
      <c r="F94" s="354" t="s">
        <v>182</v>
      </c>
      <c r="G94" s="354" t="s">
        <v>183</v>
      </c>
      <c r="H94" s="575" t="s">
        <v>186</v>
      </c>
    </row>
    <row r="95" spans="1:11" x14ac:dyDescent="0.25">
      <c r="A95" s="12"/>
      <c r="B95" s="18" t="s">
        <v>136</v>
      </c>
      <c r="C95" s="18"/>
      <c r="D95" s="41">
        <f>+Produktion!Q62-Produktion!O62</f>
        <v>92.130921541499589</v>
      </c>
      <c r="E95" s="127"/>
      <c r="F95" s="127"/>
      <c r="G95" s="127"/>
      <c r="H95" s="363"/>
      <c r="K95" s="293"/>
    </row>
    <row r="96" spans="1:11" x14ac:dyDescent="0.25">
      <c r="A96" s="12"/>
      <c r="B96" s="18" t="s">
        <v>54</v>
      </c>
      <c r="C96" s="18"/>
      <c r="D96" s="41">
        <f>+Produktion!Q66-Produktion!O66</f>
        <v>82.064628495501381</v>
      </c>
      <c r="E96" s="41">
        <f>+$D$95-D96</f>
        <v>10.066293045998208</v>
      </c>
      <c r="F96" s="16">
        <f>+E96/$D$95</f>
        <v>0.10926074414075987</v>
      </c>
      <c r="G96" s="364">
        <f>+$L$49*EXP($M$49*F96)</f>
        <v>9.9427246450248738E-2</v>
      </c>
      <c r="H96" s="44">
        <f>+E96*G96/3.6</f>
        <v>0.27801772209024689</v>
      </c>
      <c r="K96" s="293"/>
    </row>
    <row r="97" spans="1:11" x14ac:dyDescent="0.25">
      <c r="A97" s="12"/>
      <c r="B97" s="18" t="s">
        <v>381</v>
      </c>
      <c r="C97" s="18"/>
      <c r="D97" s="41">
        <f>+Produktion!Q70-Produktion!O70</f>
        <v>78.238021983447624</v>
      </c>
      <c r="E97" s="41">
        <f t="shared" ref="E97:E98" si="32">+$D$95-D97</f>
        <v>13.892899558051965</v>
      </c>
      <c r="F97" s="16">
        <f t="shared" ref="F97:F98" si="33">+E97/$D$95</f>
        <v>0.15079518717061813</v>
      </c>
      <c r="G97" s="364">
        <f t="shared" ref="G97:G98" si="34">+$L$49*EXP($M$49*F97)</f>
        <v>0.11652289270802918</v>
      </c>
      <c r="H97" s="44">
        <f t="shared" ref="H97:H98" si="35">+E97*G97/3.6</f>
        <v>0.44967801239064309</v>
      </c>
      <c r="K97" s="293"/>
    </row>
    <row r="98" spans="1:11" x14ac:dyDescent="0.25">
      <c r="A98" s="12"/>
      <c r="B98" s="18" t="s">
        <v>105</v>
      </c>
      <c r="C98" s="18"/>
      <c r="D98" s="41">
        <f>+Produktion!Q74-Produktion!O74</f>
        <v>72.765981802768437</v>
      </c>
      <c r="E98" s="41">
        <f t="shared" si="32"/>
        <v>19.364939738731152</v>
      </c>
      <c r="F98" s="16">
        <f t="shared" si="33"/>
        <v>0.21018936329653862</v>
      </c>
      <c r="G98" s="364">
        <f t="shared" si="34"/>
        <v>0.14619970220819958</v>
      </c>
      <c r="H98" s="44">
        <f t="shared" si="35"/>
        <v>0.78643011752284009</v>
      </c>
      <c r="K98" s="293"/>
    </row>
    <row r="99" spans="1:11" x14ac:dyDescent="0.25">
      <c r="A99" s="12"/>
      <c r="B99" s="18"/>
      <c r="C99" s="18"/>
      <c r="D99" s="18"/>
      <c r="E99" s="18"/>
      <c r="F99" s="18"/>
      <c r="G99" s="18"/>
      <c r="H99" s="28"/>
    </row>
    <row r="100" spans="1:11" x14ac:dyDescent="0.25">
      <c r="A100" s="27" t="s">
        <v>196</v>
      </c>
      <c r="B100" s="18"/>
      <c r="C100" s="18"/>
      <c r="D100" s="18"/>
      <c r="E100" s="18"/>
      <c r="F100" s="18"/>
      <c r="G100" s="1026" t="s">
        <v>184</v>
      </c>
      <c r="H100" s="1027"/>
    </row>
    <row r="101" spans="1:11" x14ac:dyDescent="0.25">
      <c r="A101" s="12"/>
      <c r="B101" s="18"/>
      <c r="C101" s="18"/>
      <c r="D101" s="996" t="s">
        <v>180</v>
      </c>
      <c r="E101" s="1026" t="s">
        <v>181</v>
      </c>
      <c r="F101" s="1026"/>
      <c r="G101" s="996" t="s">
        <v>187</v>
      </c>
      <c r="H101" s="997" t="s">
        <v>185</v>
      </c>
    </row>
    <row r="102" spans="1:11" x14ac:dyDescent="0.25">
      <c r="A102" s="12"/>
      <c r="B102" s="18"/>
      <c r="C102" s="18"/>
      <c r="D102" s="354" t="s">
        <v>1</v>
      </c>
      <c r="E102" s="354" t="s">
        <v>1</v>
      </c>
      <c r="F102" s="354" t="s">
        <v>182</v>
      </c>
      <c r="G102" s="354" t="s">
        <v>183</v>
      </c>
      <c r="H102" s="575" t="s">
        <v>186</v>
      </c>
    </row>
    <row r="103" spans="1:11" x14ac:dyDescent="0.25">
      <c r="A103" s="12"/>
      <c r="B103" s="18" t="s">
        <v>136</v>
      </c>
      <c r="C103" s="18"/>
      <c r="D103" s="41">
        <f>+Produktion!O62</f>
        <v>45.930021728187107</v>
      </c>
      <c r="E103" s="127"/>
      <c r="F103" s="127"/>
      <c r="G103" s="127"/>
      <c r="H103" s="363"/>
    </row>
    <row r="104" spans="1:11" x14ac:dyDescent="0.25">
      <c r="A104" s="12"/>
      <c r="B104" s="18" t="s">
        <v>54</v>
      </c>
      <c r="C104" s="18"/>
      <c r="D104" s="41">
        <f>+Produktion!O66</f>
        <v>39.751904377833988</v>
      </c>
      <c r="E104" s="41">
        <f>+$D$103-D104</f>
        <v>6.1781173503531193</v>
      </c>
      <c r="F104" s="16">
        <f>+E104/$D$103</f>
        <v>0.13451152683782922</v>
      </c>
      <c r="G104" s="364">
        <f>+$L$48*EXP($M$48*F104)</f>
        <v>0.18220632142722823</v>
      </c>
      <c r="H104" s="44">
        <f>+E104*G104/3.6</f>
        <v>0.31269223215377112</v>
      </c>
    </row>
    <row r="105" spans="1:11" x14ac:dyDescent="0.25">
      <c r="A105" s="12"/>
      <c r="B105" s="18" t="s">
        <v>381</v>
      </c>
      <c r="C105" s="18"/>
      <c r="D105" s="41">
        <f>+Produktion!O70</f>
        <v>38.202924236506938</v>
      </c>
      <c r="E105" s="41">
        <f t="shared" ref="E105:E106" si="36">+$D$103-D105</f>
        <v>7.7270974916801691</v>
      </c>
      <c r="F105" s="16">
        <f t="shared" ref="F105:F106" si="37">+E105/$D$103</f>
        <v>0.16823631256716942</v>
      </c>
      <c r="G105" s="364">
        <f t="shared" ref="G105:G106" si="38">+$L$48*EXP($M$48*F105)</f>
        <v>0.19856924544042823</v>
      </c>
      <c r="H105" s="44">
        <f t="shared" ref="H105:H106" si="39">+E105*G105/3.6</f>
        <v>0.42621219954654355</v>
      </c>
    </row>
    <row r="106" spans="1:11" ht="15.75" thickBot="1" x14ac:dyDescent="0.3">
      <c r="A106" s="13"/>
      <c r="B106" s="34" t="s">
        <v>105</v>
      </c>
      <c r="C106" s="34"/>
      <c r="D106" s="46">
        <f>+Produktion!O74</f>
        <v>35.584679552477645</v>
      </c>
      <c r="E106" s="46">
        <f t="shared" si="36"/>
        <v>10.345342175709462</v>
      </c>
      <c r="F106" s="61">
        <f t="shared" si="37"/>
        <v>0.22524139520187855</v>
      </c>
      <c r="G106" s="366">
        <f t="shared" si="38"/>
        <v>0.22963723934035465</v>
      </c>
      <c r="H106" s="47">
        <f t="shared" si="39"/>
        <v>0.65990994923923851</v>
      </c>
    </row>
  </sheetData>
  <mergeCells count="27">
    <mergeCell ref="E101:F101"/>
    <mergeCell ref="E75:F75"/>
    <mergeCell ref="G82:H82"/>
    <mergeCell ref="E83:F83"/>
    <mergeCell ref="G92:H92"/>
    <mergeCell ref="E93:F93"/>
    <mergeCell ref="G100:H100"/>
    <mergeCell ref="G74:H74"/>
    <mergeCell ref="C18:J18"/>
    <mergeCell ref="C19:E19"/>
    <mergeCell ref="F19:H19"/>
    <mergeCell ref="I19:J19"/>
    <mergeCell ref="G27:H27"/>
    <mergeCell ref="E28:F28"/>
    <mergeCell ref="G42:H42"/>
    <mergeCell ref="E43:F43"/>
    <mergeCell ref="G57:H57"/>
    <mergeCell ref="G66:H66"/>
    <mergeCell ref="E67:F67"/>
    <mergeCell ref="C12:E12"/>
    <mergeCell ref="F12:H12"/>
    <mergeCell ref="I12:J12"/>
    <mergeCell ref="C4:J4"/>
    <mergeCell ref="C5:E5"/>
    <mergeCell ref="F5:H5"/>
    <mergeCell ref="I5:J5"/>
    <mergeCell ref="C11:J1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16</vt:i4>
      </vt:variant>
    </vt:vector>
  </HeadingPairs>
  <TitlesOfParts>
    <vt:vector size="16" baseType="lpstr">
      <vt:lpstr>Intro</vt:lpstr>
      <vt:lpstr>E-tjen-forudsæt</vt:lpstr>
      <vt:lpstr>Øvr forudsæt</vt:lpstr>
      <vt:lpstr>transport foruds.</vt:lpstr>
      <vt:lpstr>E-tjen-oversigt</vt:lpstr>
      <vt:lpstr>Effektiviseringer</vt:lpstr>
      <vt:lpstr>Res energi 2035</vt:lpstr>
      <vt:lpstr>Res energi 2050</vt:lpstr>
      <vt:lpstr>Økonomi 2035</vt:lpstr>
      <vt:lpstr>Økonomi 2050</vt:lpstr>
      <vt:lpstr>2011</vt:lpstr>
      <vt:lpstr>Husholdninger</vt:lpstr>
      <vt:lpstr>H&amp;S</vt:lpstr>
      <vt:lpstr>Produktion</vt:lpstr>
      <vt:lpstr>Transport</vt:lpstr>
      <vt:lpstr>Omkostninger</vt:lpstr>
    </vt:vector>
  </TitlesOfParts>
  <Company>Energistyrelsen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Bach</dc:creator>
  <cp:lastModifiedBy>Peter Bach</cp:lastModifiedBy>
  <cp:lastPrinted>2013-10-29T15:11:34Z</cp:lastPrinted>
  <dcterms:created xsi:type="dcterms:W3CDTF">2010-02-01T13:08:47Z</dcterms:created>
  <dcterms:modified xsi:type="dcterms:W3CDTF">2014-01-22T08:31:25Z</dcterms:modified>
</cp:coreProperties>
</file>