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20400" windowHeight="7965" tabRatio="984" firstSheet="3" activeTab="57"/>
  </bookViews>
  <sheets>
    <sheet name="skabelon" sheetId="58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  <sheet name="32" sheetId="32" r:id="rId33"/>
    <sheet name="33" sheetId="33" r:id="rId34"/>
    <sheet name="34" sheetId="34" r:id="rId35"/>
    <sheet name="35" sheetId="35" r:id="rId36"/>
    <sheet name="36" sheetId="36" r:id="rId37"/>
    <sheet name="37" sheetId="37" r:id="rId38"/>
    <sheet name="38" sheetId="38" r:id="rId39"/>
    <sheet name="39" sheetId="39" r:id="rId40"/>
    <sheet name="40" sheetId="40" r:id="rId41"/>
    <sheet name="41" sheetId="41" r:id="rId42"/>
    <sheet name="42" sheetId="42" r:id="rId43"/>
    <sheet name="43" sheetId="43" r:id="rId44"/>
    <sheet name="44" sheetId="44" r:id="rId45"/>
    <sheet name="45" sheetId="45" r:id="rId46"/>
    <sheet name="46" sheetId="46" r:id="rId47"/>
    <sheet name="47" sheetId="47" r:id="rId48"/>
    <sheet name="48" sheetId="48" r:id="rId49"/>
    <sheet name="49" sheetId="49" r:id="rId50"/>
    <sheet name="50" sheetId="50" r:id="rId51"/>
    <sheet name="51" sheetId="51" r:id="rId52"/>
    <sheet name="52" sheetId="52" r:id="rId53"/>
    <sheet name="53" sheetId="53" r:id="rId54"/>
    <sheet name="54" sheetId="54" r:id="rId55"/>
    <sheet name="55" sheetId="55" r:id="rId56"/>
    <sheet name="56" sheetId="56" r:id="rId57"/>
    <sheet name="57" sheetId="57" r:id="rId58"/>
    <sheet name="sum per energiart" sheetId="59" r:id="rId59"/>
    <sheet name="sum per slutanv" sheetId="60" r:id="rId60"/>
    <sheet name="ind" sheetId="61" r:id="rId61"/>
    <sheet name="hs" sheetId="62" r:id="rId62"/>
    <sheet name="aggrerede brancher" sheetId="63" r:id="rId63"/>
  </sheets>
  <definedNames>
    <definedName name="_xlnm.Print_Area" localSheetId="19">'19'!$A$1:$AA$38</definedName>
    <definedName name="_xlnm.Print_Area" localSheetId="59">'sum per slutanv'!$A$62:$I$79</definedName>
  </definedNames>
  <calcPr calcId="145621" calcOnSave="0"/>
</workbook>
</file>

<file path=xl/calcChain.xml><?xml version="1.0" encoding="utf-8"?>
<calcChain xmlns="http://schemas.openxmlformats.org/spreadsheetml/2006/main">
  <c r="J57" i="60" l="1"/>
  <c r="W6" i="61"/>
  <c r="O66" i="60"/>
  <c r="H57" i="60"/>
  <c r="D32" i="63"/>
  <c r="E32" i="63"/>
  <c r="F32" i="63"/>
  <c r="G32" i="63"/>
  <c r="H32" i="63"/>
  <c r="I32" i="63"/>
  <c r="J32" i="63"/>
  <c r="K32" i="63"/>
  <c r="L32" i="63"/>
  <c r="M32" i="63"/>
  <c r="N32" i="63"/>
  <c r="O32" i="63"/>
  <c r="P32" i="63"/>
  <c r="Q32" i="63"/>
  <c r="R32" i="63"/>
  <c r="U32" i="63"/>
  <c r="V32" i="63"/>
  <c r="W32" i="63"/>
  <c r="X32" i="63"/>
  <c r="D33" i="63"/>
  <c r="E33" i="63"/>
  <c r="F33" i="63"/>
  <c r="G33" i="63"/>
  <c r="H33" i="63"/>
  <c r="I33" i="63"/>
  <c r="J33" i="63"/>
  <c r="K33" i="63"/>
  <c r="L33" i="63"/>
  <c r="M33" i="63"/>
  <c r="N33" i="63"/>
  <c r="O33" i="63"/>
  <c r="P33" i="63"/>
  <c r="Q33" i="63"/>
  <c r="R33" i="63"/>
  <c r="U33" i="63"/>
  <c r="V33" i="63"/>
  <c r="W33" i="63"/>
  <c r="X33" i="63"/>
  <c r="D34" i="63"/>
  <c r="E34" i="63"/>
  <c r="F34" i="63"/>
  <c r="G34" i="63"/>
  <c r="H34" i="63"/>
  <c r="I34" i="63"/>
  <c r="J34" i="63"/>
  <c r="K34" i="63"/>
  <c r="L34" i="63"/>
  <c r="M34" i="63"/>
  <c r="N34" i="63"/>
  <c r="O34" i="63"/>
  <c r="P34" i="63"/>
  <c r="Q34" i="63"/>
  <c r="R34" i="63"/>
  <c r="U34" i="63"/>
  <c r="V34" i="63"/>
  <c r="W34" i="63"/>
  <c r="X34" i="63"/>
  <c r="D35" i="63"/>
  <c r="E35" i="63"/>
  <c r="F35" i="63"/>
  <c r="G35" i="63"/>
  <c r="H35" i="63"/>
  <c r="I35" i="63"/>
  <c r="J35" i="63"/>
  <c r="K35" i="63"/>
  <c r="L35" i="63"/>
  <c r="M35" i="63"/>
  <c r="N35" i="63"/>
  <c r="O35" i="63"/>
  <c r="P35" i="63"/>
  <c r="Q35" i="63"/>
  <c r="R35" i="63"/>
  <c r="U35" i="63"/>
  <c r="V35" i="63"/>
  <c r="W35" i="63"/>
  <c r="X35" i="63"/>
  <c r="D36" i="63"/>
  <c r="E36" i="63"/>
  <c r="F36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U36" i="63"/>
  <c r="V36" i="63"/>
  <c r="W36" i="63"/>
  <c r="X36" i="63"/>
  <c r="C36" i="63"/>
  <c r="C35" i="63"/>
  <c r="C34" i="63"/>
  <c r="C33" i="63"/>
  <c r="C32" i="63"/>
  <c r="D23" i="63"/>
  <c r="F23" i="63"/>
  <c r="F26" i="63" s="1"/>
  <c r="H23" i="63"/>
  <c r="I23" i="63"/>
  <c r="J23" i="63"/>
  <c r="K23" i="63"/>
  <c r="L23" i="63"/>
  <c r="M23" i="63"/>
  <c r="N23" i="63"/>
  <c r="N26" i="63" s="1"/>
  <c r="O23" i="63"/>
  <c r="P23" i="63"/>
  <c r="Q23" i="63"/>
  <c r="R23" i="63"/>
  <c r="W23" i="63"/>
  <c r="W26" i="63" s="1"/>
  <c r="X23" i="63"/>
  <c r="D24" i="63"/>
  <c r="E24" i="63"/>
  <c r="F24" i="63"/>
  <c r="G24" i="63"/>
  <c r="H24" i="63"/>
  <c r="I24" i="63"/>
  <c r="I26" i="63" s="1"/>
  <c r="J24" i="63"/>
  <c r="K24" i="63"/>
  <c r="L24" i="63"/>
  <c r="M24" i="63"/>
  <c r="N24" i="63"/>
  <c r="O24" i="63"/>
  <c r="P24" i="63"/>
  <c r="Q24" i="63"/>
  <c r="Q26" i="63" s="1"/>
  <c r="R24" i="63"/>
  <c r="U24" i="63"/>
  <c r="V24" i="63"/>
  <c r="W24" i="63"/>
  <c r="X24" i="63"/>
  <c r="D25" i="63"/>
  <c r="D26" i="63" s="1"/>
  <c r="E25" i="63"/>
  <c r="F25" i="63"/>
  <c r="G25" i="63"/>
  <c r="H25" i="63"/>
  <c r="I25" i="63"/>
  <c r="J25" i="63"/>
  <c r="K25" i="63"/>
  <c r="L25" i="63"/>
  <c r="L26" i="63" s="1"/>
  <c r="M25" i="63"/>
  <c r="N25" i="63"/>
  <c r="O25" i="63"/>
  <c r="P25" i="63"/>
  <c r="Q25" i="63"/>
  <c r="R25" i="63"/>
  <c r="U25" i="63"/>
  <c r="V25" i="63"/>
  <c r="W25" i="63"/>
  <c r="X25" i="63"/>
  <c r="C25" i="63"/>
  <c r="C24" i="63"/>
  <c r="K26" i="63" l="1"/>
  <c r="P26" i="63"/>
  <c r="J26" i="63"/>
  <c r="Q37" i="63"/>
  <c r="H26" i="63"/>
  <c r="M26" i="63"/>
  <c r="R26" i="63"/>
  <c r="M37" i="63"/>
  <c r="X26" i="63"/>
  <c r="O26" i="63"/>
  <c r="W37" i="63"/>
  <c r="I37" i="63"/>
  <c r="E37" i="63"/>
  <c r="P37" i="63"/>
  <c r="L37" i="63"/>
  <c r="X37" i="63"/>
  <c r="J37" i="63"/>
  <c r="F37" i="63"/>
  <c r="C37" i="63"/>
  <c r="R37" i="63"/>
  <c r="N37" i="63"/>
  <c r="H37" i="63"/>
  <c r="D37" i="63"/>
  <c r="O37" i="63"/>
  <c r="G37" i="63"/>
  <c r="U37" i="63"/>
  <c r="V37" i="63"/>
  <c r="K37" i="63"/>
  <c r="D14" i="63"/>
  <c r="E14" i="63"/>
  <c r="F14" i="63"/>
  <c r="G14" i="63"/>
  <c r="H14" i="63"/>
  <c r="I14" i="63"/>
  <c r="J14" i="63"/>
  <c r="K14" i="63"/>
  <c r="L14" i="63"/>
  <c r="M14" i="63"/>
  <c r="N14" i="63"/>
  <c r="O14" i="63"/>
  <c r="P14" i="63"/>
  <c r="Q14" i="63"/>
  <c r="R14" i="63"/>
  <c r="U14" i="63"/>
  <c r="V14" i="63"/>
  <c r="W14" i="63"/>
  <c r="X14" i="63"/>
  <c r="D15" i="63"/>
  <c r="E15" i="63"/>
  <c r="F15" i="63"/>
  <c r="G15" i="63"/>
  <c r="H15" i="63"/>
  <c r="I15" i="63"/>
  <c r="J15" i="63"/>
  <c r="K15" i="63"/>
  <c r="L15" i="63"/>
  <c r="M15" i="63"/>
  <c r="N15" i="63"/>
  <c r="O15" i="63"/>
  <c r="P15" i="63"/>
  <c r="Q15" i="63"/>
  <c r="R15" i="63"/>
  <c r="U15" i="63"/>
  <c r="V15" i="63"/>
  <c r="W15" i="63"/>
  <c r="X15" i="63"/>
  <c r="D16" i="63"/>
  <c r="E16" i="63"/>
  <c r="F16" i="63"/>
  <c r="G16" i="63"/>
  <c r="H16" i="63"/>
  <c r="I16" i="63"/>
  <c r="J16" i="63"/>
  <c r="K16" i="63"/>
  <c r="L16" i="63"/>
  <c r="M16" i="63"/>
  <c r="N16" i="63"/>
  <c r="O16" i="63"/>
  <c r="P16" i="63"/>
  <c r="Q16" i="63"/>
  <c r="R16" i="63"/>
  <c r="U16" i="63"/>
  <c r="V16" i="63"/>
  <c r="W16" i="63"/>
  <c r="X16" i="63"/>
  <c r="C16" i="63"/>
  <c r="C15" i="63"/>
  <c r="C14" i="63"/>
  <c r="G10" i="63"/>
  <c r="D6" i="63"/>
  <c r="E6" i="63"/>
  <c r="F6" i="63"/>
  <c r="G6" i="63"/>
  <c r="H6" i="63"/>
  <c r="I6" i="63"/>
  <c r="J6" i="63"/>
  <c r="K6" i="63"/>
  <c r="L6" i="63"/>
  <c r="M6" i="63"/>
  <c r="N6" i="63"/>
  <c r="O6" i="63"/>
  <c r="P6" i="63"/>
  <c r="Q6" i="63"/>
  <c r="R6" i="63"/>
  <c r="U6" i="63"/>
  <c r="V6" i="63"/>
  <c r="W6" i="63"/>
  <c r="X6" i="63"/>
  <c r="D7" i="63"/>
  <c r="E7" i="63"/>
  <c r="F7" i="63"/>
  <c r="G7" i="63"/>
  <c r="H7" i="63"/>
  <c r="I7" i="63"/>
  <c r="J7" i="63"/>
  <c r="K7" i="63"/>
  <c r="L7" i="63"/>
  <c r="M7" i="63"/>
  <c r="N7" i="63"/>
  <c r="O7" i="63"/>
  <c r="P7" i="63"/>
  <c r="Q7" i="63"/>
  <c r="R7" i="63"/>
  <c r="U7" i="63"/>
  <c r="V7" i="63"/>
  <c r="W7" i="63"/>
  <c r="X7" i="63"/>
  <c r="C7" i="63"/>
  <c r="C6" i="63"/>
  <c r="D5" i="63"/>
  <c r="E5" i="63"/>
  <c r="F5" i="63"/>
  <c r="G5" i="63"/>
  <c r="H5" i="63"/>
  <c r="I5" i="63"/>
  <c r="J5" i="63"/>
  <c r="K5" i="63"/>
  <c r="L5" i="63"/>
  <c r="M5" i="63"/>
  <c r="N5" i="63"/>
  <c r="O5" i="63"/>
  <c r="P5" i="63"/>
  <c r="Q5" i="63"/>
  <c r="R5" i="63"/>
  <c r="U5" i="63"/>
  <c r="V5" i="63"/>
  <c r="W5" i="63"/>
  <c r="X5" i="63"/>
  <c r="C5" i="63"/>
  <c r="R8" i="63" l="1"/>
  <c r="J8" i="63"/>
  <c r="X8" i="63"/>
  <c r="G8" i="63"/>
  <c r="W8" i="63"/>
  <c r="F8" i="63"/>
  <c r="F10" i="63" s="1"/>
  <c r="K8" i="63"/>
  <c r="C17" i="63"/>
  <c r="O8" i="63"/>
  <c r="N8" i="63"/>
  <c r="C8" i="63"/>
  <c r="V8" i="63"/>
  <c r="Q8" i="63"/>
  <c r="M8" i="63"/>
  <c r="I8" i="63"/>
  <c r="E8" i="63"/>
  <c r="U8" i="63"/>
  <c r="P8" i="63"/>
  <c r="L8" i="63"/>
  <c r="H8" i="63"/>
  <c r="D8" i="63"/>
  <c r="V17" i="63"/>
  <c r="Q17" i="63"/>
  <c r="M17" i="63"/>
  <c r="I17" i="63"/>
  <c r="E17" i="63"/>
  <c r="W17" i="63"/>
  <c r="R17" i="63"/>
  <c r="N17" i="63"/>
  <c r="J17" i="63"/>
  <c r="F17" i="63"/>
  <c r="X17" i="63"/>
  <c r="O17" i="63"/>
  <c r="K17" i="63"/>
  <c r="G17" i="63"/>
  <c r="U17" i="63"/>
  <c r="P17" i="63"/>
  <c r="L17" i="63"/>
  <c r="H17" i="63"/>
  <c r="D17" i="63"/>
  <c r="L30" i="42"/>
  <c r="R6" i="61" l="1"/>
  <c r="W8" i="61"/>
  <c r="C8" i="61"/>
  <c r="Y32" i="3"/>
  <c r="S31" i="3"/>
  <c r="X30" i="3"/>
  <c r="W30" i="3"/>
  <c r="V30" i="3"/>
  <c r="U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S29" i="3"/>
  <c r="Y28" i="3"/>
  <c r="Y27" i="3"/>
  <c r="Y26" i="3"/>
  <c r="Y25" i="3"/>
  <c r="Y24" i="3"/>
  <c r="Y23" i="3"/>
  <c r="Y22" i="3"/>
  <c r="Y21" i="3"/>
  <c r="Y20" i="3"/>
  <c r="Y19" i="3"/>
  <c r="S18" i="3"/>
  <c r="Y18" i="3" s="1"/>
  <c r="S17" i="3"/>
  <c r="Y17" i="3" s="1"/>
  <c r="S16" i="3"/>
  <c r="Y16" i="3" s="1"/>
  <c r="S15" i="3"/>
  <c r="Y15" i="3" s="1"/>
  <c r="S14" i="3"/>
  <c r="Y14" i="3" s="1"/>
  <c r="S13" i="3"/>
  <c r="Y13" i="3" s="1"/>
  <c r="S12" i="3"/>
  <c r="Y12" i="3" s="1"/>
  <c r="S11" i="3"/>
  <c r="Y11" i="3" s="1"/>
  <c r="S10" i="3"/>
  <c r="Y10" i="3" s="1"/>
  <c r="S9" i="3"/>
  <c r="Y9" i="3" s="1"/>
  <c r="S8" i="3"/>
  <c r="Y8" i="3" s="1"/>
  <c r="S7" i="3"/>
  <c r="Y7" i="3" s="1"/>
  <c r="S6" i="3"/>
  <c r="Y6" i="3" s="1"/>
  <c r="T31" i="3" l="1"/>
  <c r="S7" i="63"/>
  <c r="T21" i="3"/>
  <c r="T25" i="3"/>
  <c r="T29" i="3"/>
  <c r="S30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22" i="3"/>
  <c r="T26" i="3"/>
  <c r="T19" i="3"/>
  <c r="T23" i="3"/>
  <c r="T27" i="3"/>
  <c r="Y29" i="3"/>
  <c r="Y31" i="3"/>
  <c r="Y7" i="63" s="1"/>
  <c r="T20" i="3"/>
  <c r="T24" i="3"/>
  <c r="T28" i="3"/>
  <c r="Z25" i="3" l="1"/>
  <c r="Z21" i="3"/>
  <c r="Z31" i="3"/>
  <c r="Z28" i="3"/>
  <c r="Z24" i="3"/>
  <c r="Z20" i="3"/>
  <c r="Z27" i="3"/>
  <c r="Z23" i="3"/>
  <c r="Z19" i="3"/>
  <c r="T30" i="3"/>
  <c r="Z14" i="3"/>
  <c r="Z6" i="3"/>
  <c r="Z15" i="3"/>
  <c r="Z7" i="3"/>
  <c r="Z16" i="3"/>
  <c r="Z8" i="3"/>
  <c r="Z17" i="3"/>
  <c r="Z9" i="3"/>
  <c r="Z29" i="3"/>
  <c r="Z18" i="3"/>
  <c r="Z10" i="3"/>
  <c r="Z26" i="3"/>
  <c r="Z11" i="3"/>
  <c r="Y30" i="3"/>
  <c r="Z12" i="3"/>
  <c r="Z22" i="3"/>
  <c r="Z13" i="3"/>
  <c r="Z30" i="3" l="1"/>
  <c r="Y32" i="2" l="1"/>
  <c r="S31" i="2"/>
  <c r="X30" i="2"/>
  <c r="W30" i="2"/>
  <c r="V30" i="2"/>
  <c r="U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S29" i="2"/>
  <c r="Y29" i="2" s="1"/>
  <c r="S28" i="2"/>
  <c r="Y28" i="2" s="1"/>
  <c r="S27" i="2"/>
  <c r="Y27" i="2" s="1"/>
  <c r="S26" i="2"/>
  <c r="S25" i="2"/>
  <c r="Y25" i="2" s="1"/>
  <c r="S24" i="2"/>
  <c r="Y24" i="2" s="1"/>
  <c r="S23" i="2"/>
  <c r="Y23" i="2" s="1"/>
  <c r="S22" i="2"/>
  <c r="S21" i="2"/>
  <c r="Y21" i="2" s="1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Y32" i="1"/>
  <c r="X30" i="1"/>
  <c r="W30" i="1"/>
  <c r="V30" i="1"/>
  <c r="U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31" i="2" l="1"/>
  <c r="Y6" i="63" s="1"/>
  <c r="S6" i="63"/>
  <c r="Z23" i="2"/>
  <c r="T8" i="2"/>
  <c r="T12" i="2"/>
  <c r="T16" i="2"/>
  <c r="T20" i="2"/>
  <c r="T22" i="2"/>
  <c r="T26" i="2"/>
  <c r="Z28" i="2"/>
  <c r="Z31" i="2"/>
  <c r="Z29" i="2"/>
  <c r="Z25" i="2"/>
  <c r="Z21" i="2"/>
  <c r="Z24" i="2"/>
  <c r="Z27" i="2"/>
  <c r="T11" i="2"/>
  <c r="T19" i="2"/>
  <c r="T27" i="2"/>
  <c r="T10" i="2"/>
  <c r="T9" i="2"/>
  <c r="T13" i="2"/>
  <c r="T17" i="2"/>
  <c r="T21" i="2"/>
  <c r="Y22" i="2"/>
  <c r="Z22" i="2" s="1"/>
  <c r="T25" i="2"/>
  <c r="Y26" i="2"/>
  <c r="Z26" i="2" s="1"/>
  <c r="T29" i="2"/>
  <c r="T31" i="2"/>
  <c r="T7" i="2"/>
  <c r="T15" i="2"/>
  <c r="T23" i="2"/>
  <c r="T6" i="2"/>
  <c r="T14" i="2"/>
  <c r="T18" i="2"/>
  <c r="T24" i="2"/>
  <c r="T28" i="2"/>
  <c r="S30" i="2"/>
  <c r="Y6" i="2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S28" i="1"/>
  <c r="T30" i="2" l="1"/>
  <c r="Y30" i="2"/>
  <c r="Z6" i="2"/>
  <c r="Z30" i="2" s="1"/>
  <c r="Y28" i="1"/>
  <c r="S9" i="1"/>
  <c r="S21" i="1"/>
  <c r="S25" i="1"/>
  <c r="S7" i="1"/>
  <c r="S11" i="1"/>
  <c r="S15" i="1"/>
  <c r="S19" i="1"/>
  <c r="S23" i="1"/>
  <c r="S27" i="1"/>
  <c r="S13" i="1"/>
  <c r="S6" i="1"/>
  <c r="S10" i="1"/>
  <c r="S14" i="1"/>
  <c r="S18" i="1"/>
  <c r="S22" i="1"/>
  <c r="S26" i="1"/>
  <c r="S31" i="1"/>
  <c r="S17" i="1"/>
  <c r="S29" i="1"/>
  <c r="S8" i="1"/>
  <c r="S12" i="1"/>
  <c r="S16" i="1"/>
  <c r="S20" i="1"/>
  <c r="S24" i="1"/>
  <c r="T28" i="1" l="1"/>
  <c r="S5" i="63"/>
  <c r="S8" i="63" s="1"/>
  <c r="T24" i="1"/>
  <c r="Y24" i="1"/>
  <c r="T18" i="1"/>
  <c r="Y18" i="1"/>
  <c r="T16" i="1"/>
  <c r="Y16" i="1"/>
  <c r="T17" i="1"/>
  <c r="Y17" i="1"/>
  <c r="T26" i="1"/>
  <c r="Y26" i="1"/>
  <c r="T10" i="1"/>
  <c r="Y10" i="1"/>
  <c r="T15" i="1"/>
  <c r="Y15" i="1"/>
  <c r="T25" i="1"/>
  <c r="Y25" i="1"/>
  <c r="T20" i="1"/>
  <c r="Y20" i="1"/>
  <c r="T29" i="1"/>
  <c r="Y29" i="1"/>
  <c r="T31" i="1"/>
  <c r="Y31" i="1"/>
  <c r="T14" i="1"/>
  <c r="Y14" i="1"/>
  <c r="T13" i="1"/>
  <c r="Y13" i="1"/>
  <c r="T19" i="1"/>
  <c r="Y19" i="1"/>
  <c r="T8" i="1"/>
  <c r="Y8" i="1"/>
  <c r="T23" i="1"/>
  <c r="Y23" i="1"/>
  <c r="T7" i="1"/>
  <c r="Y7" i="1"/>
  <c r="T9" i="1"/>
  <c r="Y9" i="1"/>
  <c r="T12" i="1"/>
  <c r="Y12" i="1"/>
  <c r="T22" i="1"/>
  <c r="Y22" i="1"/>
  <c r="S30" i="1"/>
  <c r="T6" i="1"/>
  <c r="Y6" i="1"/>
  <c r="T27" i="1"/>
  <c r="Y27" i="1"/>
  <c r="T11" i="1"/>
  <c r="Y11" i="1"/>
  <c r="T21" i="1"/>
  <c r="Y21" i="1"/>
  <c r="Z28" i="1" l="1"/>
  <c r="Y5" i="63"/>
  <c r="Y8" i="63" s="1"/>
  <c r="Z13" i="1"/>
  <c r="Z21" i="1"/>
  <c r="Z27" i="1"/>
  <c r="Z22" i="1"/>
  <c r="Z9" i="1"/>
  <c r="Z23" i="1"/>
  <c r="Z20" i="1"/>
  <c r="Z15" i="1"/>
  <c r="Z26" i="1"/>
  <c r="Z16" i="1"/>
  <c r="Z24" i="1"/>
  <c r="Z11" i="1"/>
  <c r="Z19" i="1"/>
  <c r="Z14" i="1"/>
  <c r="Z12" i="1"/>
  <c r="Z7" i="1"/>
  <c r="Z8" i="1"/>
  <c r="Z29" i="1"/>
  <c r="Z25" i="1"/>
  <c r="Z10" i="1"/>
  <c r="Z17" i="1"/>
  <c r="Z18" i="1"/>
  <c r="Z31" i="1"/>
  <c r="Z6" i="1"/>
  <c r="Y30" i="1"/>
  <c r="T30" i="1"/>
  <c r="Z30" i="1" l="1"/>
  <c r="C45" i="46" l="1"/>
  <c r="Y32" i="46"/>
  <c r="T31" i="46"/>
  <c r="S31" i="46"/>
  <c r="Y31" i="46" s="1"/>
  <c r="Z31" i="46" s="1"/>
  <c r="X30" i="46"/>
  <c r="W30" i="46"/>
  <c r="V30" i="46"/>
  <c r="U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S29" i="46"/>
  <c r="Y29" i="46" s="1"/>
  <c r="Z29" i="46" s="1"/>
  <c r="S28" i="46"/>
  <c r="Y28" i="46" s="1"/>
  <c r="Z28" i="46" s="1"/>
  <c r="Y27" i="46"/>
  <c r="S27" i="46"/>
  <c r="T27" i="46" s="1"/>
  <c r="T26" i="46"/>
  <c r="S26" i="46"/>
  <c r="Y26" i="46" s="1"/>
  <c r="Z26" i="46" s="1"/>
  <c r="S25" i="46"/>
  <c r="Y25" i="46" s="1"/>
  <c r="Z25" i="46" s="1"/>
  <c r="T24" i="46"/>
  <c r="S24" i="46"/>
  <c r="Y24" i="46" s="1"/>
  <c r="Z24" i="46" s="1"/>
  <c r="S23" i="46"/>
  <c r="Y23" i="46" s="1"/>
  <c r="Z23" i="46" s="1"/>
  <c r="Y22" i="46"/>
  <c r="T22" i="46"/>
  <c r="S22" i="46"/>
  <c r="S21" i="46"/>
  <c r="Y21" i="46" s="1"/>
  <c r="Z21" i="46" s="1"/>
  <c r="S20" i="46"/>
  <c r="T20" i="46" s="1"/>
  <c r="Y19" i="46"/>
  <c r="S19" i="46"/>
  <c r="T19" i="46" s="1"/>
  <c r="T18" i="46"/>
  <c r="S18" i="46"/>
  <c r="Y18" i="46" s="1"/>
  <c r="Z18" i="46" s="1"/>
  <c r="S17" i="46"/>
  <c r="Y17" i="46" s="1"/>
  <c r="Z17" i="46" s="1"/>
  <c r="T16" i="46"/>
  <c r="S16" i="46"/>
  <c r="Y16" i="46" s="1"/>
  <c r="Z16" i="46" s="1"/>
  <c r="S15" i="46"/>
  <c r="Y15" i="46" s="1"/>
  <c r="Z15" i="46" s="1"/>
  <c r="Y14" i="46"/>
  <c r="T14" i="46"/>
  <c r="S14" i="46"/>
  <c r="S13" i="46"/>
  <c r="Y13" i="46" s="1"/>
  <c r="Z13" i="46" s="1"/>
  <c r="S12" i="46"/>
  <c r="T12" i="46" s="1"/>
  <c r="Y11" i="46"/>
  <c r="S11" i="46"/>
  <c r="T11" i="46" s="1"/>
  <c r="T10" i="46"/>
  <c r="S10" i="46"/>
  <c r="Y10" i="46" s="1"/>
  <c r="Z10" i="46" s="1"/>
  <c r="S9" i="46"/>
  <c r="Y9" i="46" s="1"/>
  <c r="Z9" i="46" s="1"/>
  <c r="S8" i="46"/>
  <c r="Y8" i="46" s="1"/>
  <c r="Z8" i="46" s="1"/>
  <c r="S7" i="46"/>
  <c r="Y7" i="46" s="1"/>
  <c r="Z7" i="46" s="1"/>
  <c r="Y6" i="46"/>
  <c r="T6" i="46"/>
  <c r="S6" i="46"/>
  <c r="Z19" i="46" l="1"/>
  <c r="Z22" i="46"/>
  <c r="T25" i="46"/>
  <c r="T28" i="46"/>
  <c r="T7" i="46"/>
  <c r="T30" i="46" s="1"/>
  <c r="Y12" i="46"/>
  <c r="Z12" i="46" s="1"/>
  <c r="Z30" i="46" s="1"/>
  <c r="T15" i="46"/>
  <c r="Y20" i="46"/>
  <c r="Z20" i="46" s="1"/>
  <c r="T23" i="46"/>
  <c r="Z11" i="46"/>
  <c r="Z6" i="46"/>
  <c r="Z14" i="46"/>
  <c r="T17" i="46"/>
  <c r="T13" i="46"/>
  <c r="T21" i="46"/>
  <c r="T29" i="46"/>
  <c r="T8" i="46"/>
  <c r="Z27" i="46"/>
  <c r="T9" i="46"/>
  <c r="S30" i="46"/>
  <c r="U30" i="55"/>
  <c r="Y30" i="46" l="1"/>
  <c r="Y45" i="20"/>
  <c r="Y45" i="19"/>
  <c r="Y45" i="18"/>
  <c r="Y47" i="17"/>
  <c r="Y45" i="16"/>
  <c r="Y45" i="15"/>
  <c r="Y42" i="14"/>
  <c r="Y45" i="10"/>
  <c r="Y45" i="9"/>
  <c r="Y45" i="8"/>
  <c r="Y45" i="7"/>
  <c r="Y45" i="6"/>
  <c r="Y46" i="5"/>
  <c r="Y41" i="4"/>
  <c r="Y32" i="4" l="1"/>
  <c r="S31" i="4"/>
  <c r="Y31" i="4" s="1"/>
  <c r="X30" i="4"/>
  <c r="W30" i="4"/>
  <c r="V30" i="4"/>
  <c r="U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T29" i="4"/>
  <c r="S29" i="4"/>
  <c r="Y29" i="4" s="1"/>
  <c r="Z29" i="4" s="1"/>
  <c r="S28" i="4"/>
  <c r="Y28" i="4" s="1"/>
  <c r="Z28" i="4" s="1"/>
  <c r="T27" i="4"/>
  <c r="S27" i="4"/>
  <c r="Y27" i="4" s="1"/>
  <c r="Z27" i="4" s="1"/>
  <c r="S26" i="4"/>
  <c r="Y26" i="4" s="1"/>
  <c r="Z26" i="4" s="1"/>
  <c r="T25" i="4"/>
  <c r="S25" i="4"/>
  <c r="Y25" i="4" s="1"/>
  <c r="Z25" i="4" s="1"/>
  <c r="S24" i="4"/>
  <c r="Y24" i="4" s="1"/>
  <c r="Z24" i="4" s="1"/>
  <c r="T23" i="4"/>
  <c r="S23" i="4"/>
  <c r="Y23" i="4" s="1"/>
  <c r="Z23" i="4" s="1"/>
  <c r="S22" i="4"/>
  <c r="Y22" i="4" s="1"/>
  <c r="Z22" i="4" s="1"/>
  <c r="T21" i="4"/>
  <c r="S21" i="4"/>
  <c r="Y21" i="4" s="1"/>
  <c r="Z21" i="4" s="1"/>
  <c r="S20" i="4"/>
  <c r="Y20" i="4" s="1"/>
  <c r="Z20" i="4" s="1"/>
  <c r="T19" i="4"/>
  <c r="S19" i="4"/>
  <c r="Y19" i="4" s="1"/>
  <c r="Z19" i="4" s="1"/>
  <c r="S18" i="4"/>
  <c r="Y18" i="4" s="1"/>
  <c r="Z18" i="4" s="1"/>
  <c r="T17" i="4"/>
  <c r="S17" i="4"/>
  <c r="Y17" i="4" s="1"/>
  <c r="Z17" i="4" s="1"/>
  <c r="S16" i="4"/>
  <c r="Y16" i="4" s="1"/>
  <c r="Z16" i="4" s="1"/>
  <c r="S15" i="4"/>
  <c r="Y15" i="4" s="1"/>
  <c r="Z15" i="4" s="1"/>
  <c r="S14" i="4"/>
  <c r="Y14" i="4" s="1"/>
  <c r="Z14" i="4" s="1"/>
  <c r="T13" i="4"/>
  <c r="S13" i="4"/>
  <c r="Y13" i="4" s="1"/>
  <c r="Z13" i="4" s="1"/>
  <c r="S12" i="4"/>
  <c r="Y12" i="4" s="1"/>
  <c r="Z12" i="4" s="1"/>
  <c r="S11" i="4"/>
  <c r="Y11" i="4" s="1"/>
  <c r="Z11" i="4" s="1"/>
  <c r="S10" i="4"/>
  <c r="Y10" i="4" s="1"/>
  <c r="Z10" i="4" s="1"/>
  <c r="T9" i="4"/>
  <c r="S9" i="4"/>
  <c r="Y9" i="4" s="1"/>
  <c r="Z9" i="4" s="1"/>
  <c r="S8" i="4"/>
  <c r="Y8" i="4" s="1"/>
  <c r="Z8" i="4" s="1"/>
  <c r="S7" i="4"/>
  <c r="Y7" i="4" s="1"/>
  <c r="Z7" i="4" s="1"/>
  <c r="S6" i="4"/>
  <c r="Y6" i="4" s="1"/>
  <c r="T10" i="4" l="1"/>
  <c r="T18" i="4"/>
  <c r="T22" i="4"/>
  <c r="T26" i="4"/>
  <c r="T6" i="4"/>
  <c r="T7" i="4"/>
  <c r="T15" i="4"/>
  <c r="T14" i="4"/>
  <c r="T11" i="4"/>
  <c r="T8" i="4"/>
  <c r="T12" i="4"/>
  <c r="T16" i="4"/>
  <c r="T20" i="4"/>
  <c r="T24" i="4"/>
  <c r="T28" i="4"/>
  <c r="T31" i="4"/>
  <c r="Y30" i="4"/>
  <c r="Z6" i="4"/>
  <c r="Z30" i="4" s="1"/>
  <c r="Z31" i="4"/>
  <c r="Z32" i="4"/>
  <c r="S30" i="4"/>
  <c r="T30" i="4" l="1"/>
  <c r="Y32" i="29"/>
  <c r="S31" i="29"/>
  <c r="X30" i="29"/>
  <c r="W30" i="29"/>
  <c r="V30" i="29"/>
  <c r="U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Y29" i="29"/>
  <c r="S29" i="29"/>
  <c r="T29" i="29" s="1"/>
  <c r="S28" i="29"/>
  <c r="Y28" i="29" s="1"/>
  <c r="S27" i="29"/>
  <c r="Y27" i="29" s="1"/>
  <c r="S26" i="29"/>
  <c r="Y26" i="29" s="1"/>
  <c r="S25" i="29"/>
  <c r="S24" i="29"/>
  <c r="Y24" i="29" s="1"/>
  <c r="S23" i="29"/>
  <c r="Y23" i="29" s="1"/>
  <c r="S22" i="29"/>
  <c r="Y22" i="29" s="1"/>
  <c r="S21" i="29"/>
  <c r="Y21" i="29" s="1"/>
  <c r="S20" i="29"/>
  <c r="Y20" i="29" s="1"/>
  <c r="S19" i="29"/>
  <c r="Y19" i="29" s="1"/>
  <c r="S18" i="29"/>
  <c r="S17" i="29"/>
  <c r="Y17" i="29" s="1"/>
  <c r="S16" i="29"/>
  <c r="Y16" i="29" s="1"/>
  <c r="S15" i="29"/>
  <c r="Y15" i="29" s="1"/>
  <c r="S14" i="29"/>
  <c r="Y14" i="29" s="1"/>
  <c r="S13" i="29"/>
  <c r="T13" i="29" s="1"/>
  <c r="S12" i="29"/>
  <c r="Y12" i="29" s="1"/>
  <c r="S11" i="29"/>
  <c r="Y11" i="29" s="1"/>
  <c r="S10" i="29"/>
  <c r="S9" i="29"/>
  <c r="Y9" i="29" s="1"/>
  <c r="T8" i="29"/>
  <c r="S8" i="29"/>
  <c r="Y8" i="29" s="1"/>
  <c r="S7" i="29"/>
  <c r="S6" i="29"/>
  <c r="Y6" i="29" s="1"/>
  <c r="T17" i="29" l="1"/>
  <c r="T31" i="29"/>
  <c r="S33" i="63"/>
  <c r="Y13" i="29"/>
  <c r="Z29" i="29"/>
  <c r="T7" i="29"/>
  <c r="T10" i="29"/>
  <c r="T22" i="29"/>
  <c r="Y31" i="29"/>
  <c r="T6" i="29"/>
  <c r="T18" i="29"/>
  <c r="T25" i="29"/>
  <c r="T9" i="29"/>
  <c r="T24" i="29"/>
  <c r="Y18" i="29"/>
  <c r="Y25" i="29"/>
  <c r="T14" i="29"/>
  <c r="T16" i="29"/>
  <c r="T20" i="29"/>
  <c r="Z21" i="29"/>
  <c r="Y10" i="29"/>
  <c r="T12" i="29"/>
  <c r="T21" i="29"/>
  <c r="T26" i="29"/>
  <c r="T28" i="29"/>
  <c r="Y7" i="29"/>
  <c r="S30" i="29"/>
  <c r="T11" i="29"/>
  <c r="T15" i="29"/>
  <c r="T19" i="29"/>
  <c r="T23" i="29"/>
  <c r="T27" i="29"/>
  <c r="Z31" i="29" l="1"/>
  <c r="Y33" i="63"/>
  <c r="Z26" i="29"/>
  <c r="Z23" i="29"/>
  <c r="Z10" i="29"/>
  <c r="Z22" i="29"/>
  <c r="Z18" i="29"/>
  <c r="Z20" i="29"/>
  <c r="Z19" i="29"/>
  <c r="Z24" i="29"/>
  <c r="Z15" i="29"/>
  <c r="Z9" i="29"/>
  <c r="Z14" i="29"/>
  <c r="Z11" i="29"/>
  <c r="Z7" i="29"/>
  <c r="Z25" i="29"/>
  <c r="Z12" i="29"/>
  <c r="Z13" i="29"/>
  <c r="Z16" i="29"/>
  <c r="Z28" i="29"/>
  <c r="Z8" i="29"/>
  <c r="Z17" i="29"/>
  <c r="Z27" i="29"/>
  <c r="Z6" i="29"/>
  <c r="T30" i="29"/>
  <c r="Y30" i="29"/>
  <c r="Y32" i="25"/>
  <c r="T31" i="25"/>
  <c r="S31" i="25"/>
  <c r="Y31" i="25" s="1"/>
  <c r="Z31" i="25" s="1"/>
  <c r="X30" i="25"/>
  <c r="W30" i="25"/>
  <c r="V30" i="25"/>
  <c r="U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S29" i="25"/>
  <c r="Y29" i="25" s="1"/>
  <c r="T28" i="25"/>
  <c r="S28" i="25"/>
  <c r="Y28" i="25" s="1"/>
  <c r="Z28" i="25" s="1"/>
  <c r="S27" i="25"/>
  <c r="Y27" i="25" s="1"/>
  <c r="T26" i="25"/>
  <c r="S26" i="25"/>
  <c r="Y26" i="25" s="1"/>
  <c r="Z26" i="25" s="1"/>
  <c r="S25" i="25"/>
  <c r="Y25" i="25" s="1"/>
  <c r="T24" i="25"/>
  <c r="S24" i="25"/>
  <c r="Y24" i="25" s="1"/>
  <c r="Z24" i="25" s="1"/>
  <c r="S23" i="25"/>
  <c r="Y23" i="25" s="1"/>
  <c r="T22" i="25"/>
  <c r="S22" i="25"/>
  <c r="Y22" i="25" s="1"/>
  <c r="Z22" i="25" s="1"/>
  <c r="S21" i="25"/>
  <c r="Y21" i="25" s="1"/>
  <c r="T20" i="25"/>
  <c r="S20" i="25"/>
  <c r="Y20" i="25" s="1"/>
  <c r="Z20" i="25" s="1"/>
  <c r="S19" i="25"/>
  <c r="Y19" i="25" s="1"/>
  <c r="T18" i="25"/>
  <c r="S18" i="25"/>
  <c r="Y18" i="25" s="1"/>
  <c r="Z18" i="25" s="1"/>
  <c r="S17" i="25"/>
  <c r="Y17" i="25" s="1"/>
  <c r="T16" i="25"/>
  <c r="S16" i="25"/>
  <c r="Y16" i="25" s="1"/>
  <c r="Z16" i="25" s="1"/>
  <c r="S15" i="25"/>
  <c r="Y15" i="25" s="1"/>
  <c r="T14" i="25"/>
  <c r="S14" i="25"/>
  <c r="Y14" i="25" s="1"/>
  <c r="Z14" i="25" s="1"/>
  <c r="S13" i="25"/>
  <c r="Y13" i="25" s="1"/>
  <c r="S12" i="25"/>
  <c r="Y12" i="25" s="1"/>
  <c r="Z12" i="25" s="1"/>
  <c r="S11" i="25"/>
  <c r="Y11" i="25" s="1"/>
  <c r="T10" i="25"/>
  <c r="S10" i="25"/>
  <c r="Y10" i="25" s="1"/>
  <c r="Z10" i="25" s="1"/>
  <c r="S9" i="25"/>
  <c r="Y9" i="25" s="1"/>
  <c r="S8" i="25"/>
  <c r="Y8" i="25" s="1"/>
  <c r="Z8" i="25" s="1"/>
  <c r="S7" i="25"/>
  <c r="Y7" i="25" s="1"/>
  <c r="T6" i="25"/>
  <c r="S6" i="25"/>
  <c r="Y6" i="25" s="1"/>
  <c r="T7" i="25" l="1"/>
  <c r="T30" i="25" s="1"/>
  <c r="T11" i="25"/>
  <c r="T15" i="25"/>
  <c r="T19" i="25"/>
  <c r="T23" i="25"/>
  <c r="T27" i="25"/>
  <c r="T8" i="25"/>
  <c r="T12" i="25"/>
  <c r="T9" i="25"/>
  <c r="T13" i="25"/>
  <c r="T17" i="25"/>
  <c r="T21" i="25"/>
  <c r="T25" i="25"/>
  <c r="T29" i="25"/>
  <c r="Z30" i="29"/>
  <c r="Z7" i="25"/>
  <c r="Z9" i="25"/>
  <c r="Z11" i="25"/>
  <c r="Z13" i="25"/>
  <c r="Z15" i="25"/>
  <c r="Z17" i="25"/>
  <c r="Z19" i="25"/>
  <c r="Z21" i="25"/>
  <c r="Z23" i="25"/>
  <c r="Z25" i="25"/>
  <c r="Z27" i="25"/>
  <c r="Z29" i="25"/>
  <c r="Y30" i="25"/>
  <c r="Z6" i="25"/>
  <c r="S30" i="25"/>
  <c r="Z30" i="25" l="1"/>
  <c r="Y32" i="23" l="1"/>
  <c r="S31" i="23"/>
  <c r="X30" i="23"/>
  <c r="W30" i="23"/>
  <c r="V30" i="23"/>
  <c r="U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S29" i="23"/>
  <c r="S28" i="23"/>
  <c r="S27" i="23"/>
  <c r="S26" i="23"/>
  <c r="T26" i="23" s="1"/>
  <c r="S25" i="23"/>
  <c r="S24" i="23"/>
  <c r="S23" i="23"/>
  <c r="S22" i="23"/>
  <c r="T22" i="23" s="1"/>
  <c r="S21" i="23"/>
  <c r="S20" i="23"/>
  <c r="S19" i="23"/>
  <c r="S18" i="23"/>
  <c r="T18" i="23" s="1"/>
  <c r="S17" i="23"/>
  <c r="S16" i="23"/>
  <c r="S15" i="23"/>
  <c r="S14" i="23"/>
  <c r="T14" i="23" s="1"/>
  <c r="S13" i="23"/>
  <c r="S12" i="23"/>
  <c r="S11" i="23"/>
  <c r="S10" i="23"/>
  <c r="T10" i="23" s="1"/>
  <c r="S9" i="23"/>
  <c r="S8" i="23"/>
  <c r="S7" i="23"/>
  <c r="S6" i="23"/>
  <c r="T6" i="23" s="1"/>
  <c r="T31" i="23" l="1"/>
  <c r="S25" i="63"/>
  <c r="T7" i="23"/>
  <c r="T11" i="23"/>
  <c r="T15" i="23"/>
  <c r="T19" i="23"/>
  <c r="T23" i="23"/>
  <c r="T27" i="23"/>
  <c r="T8" i="23"/>
  <c r="T12" i="23"/>
  <c r="T16" i="23"/>
  <c r="T9" i="23"/>
  <c r="T13" i="23"/>
  <c r="T17" i="23"/>
  <c r="T21" i="23"/>
  <c r="T25" i="23"/>
  <c r="T29" i="23"/>
  <c r="T20" i="23"/>
  <c r="T24" i="23"/>
  <c r="T28" i="23"/>
  <c r="S30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1" i="23"/>
  <c r="Y32" i="22"/>
  <c r="T31" i="22"/>
  <c r="S31" i="22"/>
  <c r="X30" i="22"/>
  <c r="W30" i="22"/>
  <c r="V30" i="22"/>
  <c r="U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S29" i="22"/>
  <c r="Y29" i="22" s="1"/>
  <c r="S28" i="22"/>
  <c r="Y28" i="22" s="1"/>
  <c r="S27" i="22"/>
  <c r="Y27" i="22" s="1"/>
  <c r="S26" i="22"/>
  <c r="Y26" i="22" s="1"/>
  <c r="S25" i="22"/>
  <c r="Y25" i="22" s="1"/>
  <c r="S24" i="22"/>
  <c r="Y24" i="22" s="1"/>
  <c r="S23" i="22"/>
  <c r="Y23" i="22" s="1"/>
  <c r="S22" i="22"/>
  <c r="Y22" i="22" s="1"/>
  <c r="S21" i="22"/>
  <c r="Y21" i="22" s="1"/>
  <c r="S20" i="22"/>
  <c r="Y20" i="22" s="1"/>
  <c r="S19" i="22"/>
  <c r="Y19" i="22" s="1"/>
  <c r="S18" i="22"/>
  <c r="Y18" i="22" s="1"/>
  <c r="S17" i="22"/>
  <c r="Y17" i="22" s="1"/>
  <c r="S16" i="22"/>
  <c r="Y16" i="22" s="1"/>
  <c r="S15" i="22"/>
  <c r="Y15" i="22" s="1"/>
  <c r="S14" i="22"/>
  <c r="Y14" i="22" s="1"/>
  <c r="S13" i="22"/>
  <c r="Y13" i="22" s="1"/>
  <c r="S12" i="22"/>
  <c r="Y12" i="22" s="1"/>
  <c r="S11" i="22"/>
  <c r="Y11" i="22" s="1"/>
  <c r="S10" i="22"/>
  <c r="Y10" i="22" s="1"/>
  <c r="S9" i="22"/>
  <c r="Y9" i="22" s="1"/>
  <c r="S8" i="22"/>
  <c r="Y8" i="22" s="1"/>
  <c r="S7" i="22"/>
  <c r="Y7" i="22" s="1"/>
  <c r="S6" i="22"/>
  <c r="Y6" i="22" s="1"/>
  <c r="Z31" i="23" l="1"/>
  <c r="Y25" i="63"/>
  <c r="Y31" i="22"/>
  <c r="Z11" i="22" s="1"/>
  <c r="S24" i="63"/>
  <c r="T30" i="23"/>
  <c r="Y30" i="23"/>
  <c r="Z6" i="23"/>
  <c r="Z22" i="23"/>
  <c r="Z14" i="23"/>
  <c r="Z23" i="23"/>
  <c r="Z15" i="23"/>
  <c r="Z7" i="23"/>
  <c r="Z29" i="23"/>
  <c r="Z25" i="23"/>
  <c r="Z21" i="23"/>
  <c r="Z17" i="23"/>
  <c r="Z13" i="23"/>
  <c r="Z9" i="23"/>
  <c r="Z26" i="23"/>
  <c r="Z18" i="23"/>
  <c r="Z10" i="23"/>
  <c r="Z27" i="23"/>
  <c r="Z19" i="23"/>
  <c r="Z11" i="23"/>
  <c r="Z28" i="23"/>
  <c r="Z24" i="23"/>
  <c r="Z20" i="23"/>
  <c r="Z16" i="23"/>
  <c r="Z12" i="23"/>
  <c r="Z8" i="23"/>
  <c r="T24" i="22"/>
  <c r="Z22" i="22"/>
  <c r="Z10" i="22"/>
  <c r="T16" i="22"/>
  <c r="T12" i="22"/>
  <c r="T22" i="22"/>
  <c r="T28" i="22"/>
  <c r="T6" i="22"/>
  <c r="Z20" i="22"/>
  <c r="T8" i="22"/>
  <c r="T14" i="22"/>
  <c r="T20" i="22"/>
  <c r="Z8" i="22"/>
  <c r="T10" i="22"/>
  <c r="Z13" i="22"/>
  <c r="T18" i="22"/>
  <c r="T26" i="22"/>
  <c r="Z23" i="22"/>
  <c r="Z25" i="22"/>
  <c r="Z27" i="22"/>
  <c r="T7" i="22"/>
  <c r="T9" i="22"/>
  <c r="T11" i="22"/>
  <c r="T13" i="22"/>
  <c r="T15" i="22"/>
  <c r="T17" i="22"/>
  <c r="T19" i="22"/>
  <c r="T21" i="22"/>
  <c r="T23" i="22"/>
  <c r="T25" i="22"/>
  <c r="T27" i="22"/>
  <c r="T29" i="22"/>
  <c r="Y30" i="22"/>
  <c r="Z6" i="22"/>
  <c r="S30" i="22"/>
  <c r="Z21" i="22" l="1"/>
  <c r="Z28" i="22"/>
  <c r="Z24" i="22"/>
  <c r="Z17" i="22"/>
  <c r="Z19" i="22"/>
  <c r="Z31" i="22"/>
  <c r="Y24" i="63"/>
  <c r="Z26" i="22"/>
  <c r="Z18" i="22"/>
  <c r="Z14" i="22"/>
  <c r="Z15" i="22"/>
  <c r="Z29" i="22"/>
  <c r="Z16" i="22"/>
  <c r="Z12" i="22"/>
  <c r="Z9" i="22"/>
  <c r="Z30" i="22" s="1"/>
  <c r="Z7" i="22"/>
  <c r="Z30" i="23"/>
  <c r="T30" i="22"/>
  <c r="Y32" i="31"/>
  <c r="S31" i="31"/>
  <c r="X30" i="31"/>
  <c r="W30" i="31"/>
  <c r="V30" i="31"/>
  <c r="U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S29" i="31"/>
  <c r="S28" i="31"/>
  <c r="S27" i="31"/>
  <c r="S26" i="31"/>
  <c r="T26" i="31" s="1"/>
  <c r="S25" i="31"/>
  <c r="S24" i="31"/>
  <c r="S23" i="31"/>
  <c r="S22" i="31"/>
  <c r="S21" i="31"/>
  <c r="S20" i="31"/>
  <c r="S19" i="31"/>
  <c r="S18" i="31"/>
  <c r="T18" i="31" s="1"/>
  <c r="S17" i="31"/>
  <c r="S16" i="31"/>
  <c r="S15" i="31"/>
  <c r="S14" i="31"/>
  <c r="S13" i="31"/>
  <c r="S12" i="31"/>
  <c r="S11" i="31"/>
  <c r="S10" i="31"/>
  <c r="T10" i="31" s="1"/>
  <c r="S9" i="31"/>
  <c r="S8" i="31"/>
  <c r="S7" i="31"/>
  <c r="S6" i="31"/>
  <c r="Y32" i="32"/>
  <c r="S31" i="32"/>
  <c r="X30" i="32"/>
  <c r="W30" i="32"/>
  <c r="V30" i="32"/>
  <c r="U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S29" i="32"/>
  <c r="Y29" i="32" s="1"/>
  <c r="S28" i="32"/>
  <c r="Y28" i="32" s="1"/>
  <c r="S27" i="32"/>
  <c r="Y27" i="32" s="1"/>
  <c r="S26" i="32"/>
  <c r="Y26" i="32" s="1"/>
  <c r="S25" i="32"/>
  <c r="Y25" i="32" s="1"/>
  <c r="S24" i="32"/>
  <c r="Y24" i="32" s="1"/>
  <c r="S23" i="32"/>
  <c r="Y23" i="32" s="1"/>
  <c r="S22" i="32"/>
  <c r="Y22" i="32" s="1"/>
  <c r="S21" i="32"/>
  <c r="Y21" i="32" s="1"/>
  <c r="S20" i="32"/>
  <c r="Y20" i="32" s="1"/>
  <c r="S19" i="32"/>
  <c r="Y19" i="32" s="1"/>
  <c r="S18" i="32"/>
  <c r="Y18" i="32" s="1"/>
  <c r="S17" i="32"/>
  <c r="Y17" i="32" s="1"/>
  <c r="S16" i="32"/>
  <c r="Y16" i="32" s="1"/>
  <c r="S15" i="32"/>
  <c r="Y15" i="32" s="1"/>
  <c r="S14" i="32"/>
  <c r="Y14" i="32" s="1"/>
  <c r="S13" i="32"/>
  <c r="Y13" i="32" s="1"/>
  <c r="S12" i="32"/>
  <c r="Y12" i="32" s="1"/>
  <c r="S11" i="32"/>
  <c r="Y11" i="32" s="1"/>
  <c r="S10" i="32"/>
  <c r="Y10" i="32" s="1"/>
  <c r="S9" i="32"/>
  <c r="Y9" i="32" s="1"/>
  <c r="S8" i="32"/>
  <c r="Y8" i="32" s="1"/>
  <c r="S7" i="32"/>
  <c r="Y7" i="32" s="1"/>
  <c r="S6" i="32"/>
  <c r="Y6" i="32" s="1"/>
  <c r="S6" i="42"/>
  <c r="Y32" i="42"/>
  <c r="S31" i="42"/>
  <c r="Y31" i="42" s="1"/>
  <c r="Z31" i="42" s="1"/>
  <c r="X30" i="42"/>
  <c r="W30" i="42"/>
  <c r="V30" i="42"/>
  <c r="U30" i="42"/>
  <c r="R30" i="42"/>
  <c r="Q30" i="42"/>
  <c r="P30" i="42"/>
  <c r="O30" i="42"/>
  <c r="N30" i="42"/>
  <c r="M30" i="42"/>
  <c r="K30" i="42"/>
  <c r="J30" i="42"/>
  <c r="I30" i="42"/>
  <c r="H30" i="42"/>
  <c r="G30" i="42"/>
  <c r="F30" i="42"/>
  <c r="E30" i="42"/>
  <c r="D30" i="42"/>
  <c r="C30" i="42"/>
  <c r="S29" i="42"/>
  <c r="Y29" i="42" s="1"/>
  <c r="T28" i="42"/>
  <c r="S28" i="42"/>
  <c r="Y28" i="42" s="1"/>
  <c r="S27" i="42"/>
  <c r="Y27" i="42" s="1"/>
  <c r="T26" i="42"/>
  <c r="S26" i="42"/>
  <c r="Y26" i="42" s="1"/>
  <c r="S25" i="42"/>
  <c r="Y25" i="42" s="1"/>
  <c r="T24" i="42"/>
  <c r="S24" i="42"/>
  <c r="Y24" i="42" s="1"/>
  <c r="S23" i="42"/>
  <c r="Y23" i="42" s="1"/>
  <c r="T22" i="42"/>
  <c r="S22" i="42"/>
  <c r="Y22" i="42" s="1"/>
  <c r="S21" i="42"/>
  <c r="Y21" i="42" s="1"/>
  <c r="T20" i="42"/>
  <c r="S20" i="42"/>
  <c r="Y20" i="42" s="1"/>
  <c r="S19" i="42"/>
  <c r="Y19" i="42" s="1"/>
  <c r="T18" i="42"/>
  <c r="S18" i="42"/>
  <c r="Y18" i="42" s="1"/>
  <c r="S17" i="42"/>
  <c r="Y17" i="42" s="1"/>
  <c r="S16" i="42"/>
  <c r="Y16" i="42" s="1"/>
  <c r="Z16" i="42" s="1"/>
  <c r="S15" i="42"/>
  <c r="Y15" i="42" s="1"/>
  <c r="S14" i="42"/>
  <c r="Y14" i="42" s="1"/>
  <c r="Z14" i="42" s="1"/>
  <c r="T13" i="42"/>
  <c r="S13" i="42"/>
  <c r="Y13" i="42" s="1"/>
  <c r="S12" i="42"/>
  <c r="Y12" i="42" s="1"/>
  <c r="T11" i="42"/>
  <c r="S11" i="42"/>
  <c r="Y11" i="42" s="1"/>
  <c r="S10" i="42"/>
  <c r="Y10" i="42" s="1"/>
  <c r="Z10" i="42" s="1"/>
  <c r="T9" i="42"/>
  <c r="S9" i="42"/>
  <c r="Y9" i="42" s="1"/>
  <c r="S8" i="42"/>
  <c r="Y8" i="42" s="1"/>
  <c r="T7" i="42"/>
  <c r="S7" i="42"/>
  <c r="Y7" i="42" s="1"/>
  <c r="T6" i="42"/>
  <c r="Y6" i="42"/>
  <c r="T11" i="32" l="1"/>
  <c r="T19" i="32"/>
  <c r="T27" i="32"/>
  <c r="Y31" i="31"/>
  <c r="S35" i="63"/>
  <c r="T10" i="42"/>
  <c r="T14" i="42"/>
  <c r="T19" i="42"/>
  <c r="T23" i="42"/>
  <c r="T27" i="42"/>
  <c r="Z8" i="32"/>
  <c r="Z12" i="32"/>
  <c r="Z16" i="32"/>
  <c r="Z20" i="32"/>
  <c r="Z24" i="32"/>
  <c r="Z28" i="32"/>
  <c r="Y31" i="32"/>
  <c r="S36" i="63"/>
  <c r="T11" i="31"/>
  <c r="T19" i="31"/>
  <c r="T27" i="31"/>
  <c r="T31" i="31"/>
  <c r="Z20" i="42"/>
  <c r="Z24" i="42"/>
  <c r="Z28" i="42"/>
  <c r="T31" i="42"/>
  <c r="T8" i="32"/>
  <c r="T12" i="32"/>
  <c r="T16" i="32"/>
  <c r="T20" i="32"/>
  <c r="T24" i="32"/>
  <c r="T28" i="32"/>
  <c r="T31" i="32"/>
  <c r="T7" i="32"/>
  <c r="T15" i="32"/>
  <c r="T23" i="32"/>
  <c r="Z12" i="42"/>
  <c r="T6" i="31"/>
  <c r="T22" i="31"/>
  <c r="T12" i="42"/>
  <c r="Z10" i="32"/>
  <c r="Z14" i="32"/>
  <c r="Z18" i="32"/>
  <c r="Z22" i="32"/>
  <c r="Z26" i="32"/>
  <c r="T7" i="31"/>
  <c r="T15" i="31"/>
  <c r="T23" i="31"/>
  <c r="Z8" i="42"/>
  <c r="T9" i="32"/>
  <c r="T13" i="32"/>
  <c r="T17" i="32"/>
  <c r="T21" i="32"/>
  <c r="T25" i="32"/>
  <c r="T29" i="32"/>
  <c r="T14" i="31"/>
  <c r="T8" i="42"/>
  <c r="T17" i="42"/>
  <c r="T21" i="42"/>
  <c r="T25" i="42"/>
  <c r="T29" i="42"/>
  <c r="Z18" i="42"/>
  <c r="Z22" i="42"/>
  <c r="Z26" i="42"/>
  <c r="T6" i="32"/>
  <c r="T10" i="32"/>
  <c r="T14" i="32"/>
  <c r="T18" i="32"/>
  <c r="T22" i="32"/>
  <c r="T26" i="32"/>
  <c r="T9" i="31"/>
  <c r="T13" i="31"/>
  <c r="T17" i="31"/>
  <c r="T21" i="31"/>
  <c r="T25" i="31"/>
  <c r="T29" i="31"/>
  <c r="T8" i="31"/>
  <c r="T12" i="31"/>
  <c r="T16" i="31"/>
  <c r="T20" i="31"/>
  <c r="T24" i="31"/>
  <c r="T28" i="31"/>
  <c r="S30" i="31"/>
  <c r="Y6" i="31"/>
  <c r="Y7" i="31"/>
  <c r="Y8" i="31"/>
  <c r="Y9" i="31"/>
  <c r="Z9" i="31" s="1"/>
  <c r="Y10" i="31"/>
  <c r="Z10" i="31" s="1"/>
  <c r="Y11" i="31"/>
  <c r="Y12" i="31"/>
  <c r="Y13" i="31"/>
  <c r="Y14" i="31"/>
  <c r="Z14" i="31" s="1"/>
  <c r="Y15" i="31"/>
  <c r="Y16" i="31"/>
  <c r="Z16" i="31" s="1"/>
  <c r="Y17" i="31"/>
  <c r="Z17" i="31" s="1"/>
  <c r="Y18" i="31"/>
  <c r="Z18" i="31" s="1"/>
  <c r="Y19" i="31"/>
  <c r="Y20" i="31"/>
  <c r="Y21" i="31"/>
  <c r="Y22" i="31"/>
  <c r="Z22" i="31" s="1"/>
  <c r="Y23" i="31"/>
  <c r="Y24" i="31"/>
  <c r="Z24" i="31" s="1"/>
  <c r="Y25" i="31"/>
  <c r="Z25" i="31" s="1"/>
  <c r="Y26" i="31"/>
  <c r="Z26" i="31" s="1"/>
  <c r="Y27" i="31"/>
  <c r="Y28" i="31"/>
  <c r="Y29" i="31"/>
  <c r="Y30" i="32"/>
  <c r="Z6" i="32"/>
  <c r="Z7" i="32"/>
  <c r="Z9" i="32"/>
  <c r="Z11" i="32"/>
  <c r="Z13" i="32"/>
  <c r="Z15" i="32"/>
  <c r="Z17" i="32"/>
  <c r="Z19" i="32"/>
  <c r="Z21" i="32"/>
  <c r="Z23" i="32"/>
  <c r="Z25" i="32"/>
  <c r="Z27" i="32"/>
  <c r="Z29" i="32"/>
  <c r="S30" i="32"/>
  <c r="T15" i="42"/>
  <c r="T16" i="42"/>
  <c r="Z7" i="42"/>
  <c r="Z9" i="42"/>
  <c r="Z11" i="42"/>
  <c r="Z13" i="42"/>
  <c r="Z15" i="42"/>
  <c r="Z17" i="42"/>
  <c r="Z19" i="42"/>
  <c r="Z21" i="42"/>
  <c r="Z23" i="42"/>
  <c r="Z25" i="42"/>
  <c r="Z27" i="42"/>
  <c r="Z29" i="42"/>
  <c r="Y30" i="42"/>
  <c r="Z6" i="42"/>
  <c r="S30" i="42"/>
  <c r="Z8" i="31" l="1"/>
  <c r="Z23" i="31"/>
  <c r="Z15" i="31"/>
  <c r="Z7" i="31"/>
  <c r="Z31" i="31"/>
  <c r="Y35" i="63"/>
  <c r="Z29" i="31"/>
  <c r="Z13" i="31"/>
  <c r="Z28" i="31"/>
  <c r="Z20" i="31"/>
  <c r="Z12" i="31"/>
  <c r="Z21" i="31"/>
  <c r="Z30" i="42"/>
  <c r="Z27" i="31"/>
  <c r="Z19" i="31"/>
  <c r="Z11" i="31"/>
  <c r="T30" i="32"/>
  <c r="Z31" i="32"/>
  <c r="Y36" i="63"/>
  <c r="T30" i="31"/>
  <c r="Z6" i="31"/>
  <c r="Y30" i="31"/>
  <c r="Z30" i="32"/>
  <c r="T30" i="42"/>
  <c r="Z30" i="31" l="1"/>
  <c r="S7" i="36"/>
  <c r="S8" i="36"/>
  <c r="Y8" i="36" s="1"/>
  <c r="S9" i="36"/>
  <c r="S10" i="36"/>
  <c r="Y10" i="36" s="1"/>
  <c r="S11" i="36"/>
  <c r="Y11" i="36" s="1"/>
  <c r="S12" i="36"/>
  <c r="S13" i="36"/>
  <c r="S14" i="36"/>
  <c r="S15" i="36"/>
  <c r="S16" i="36"/>
  <c r="Y16" i="36" s="1"/>
  <c r="S17" i="36"/>
  <c r="S18" i="36"/>
  <c r="Y18" i="36" s="1"/>
  <c r="Z18" i="36" s="1"/>
  <c r="S19" i="36"/>
  <c r="T19" i="36" s="1"/>
  <c r="S20" i="36"/>
  <c r="Y20" i="36" s="1"/>
  <c r="Z20" i="36" s="1"/>
  <c r="S21" i="36"/>
  <c r="S22" i="36"/>
  <c r="Y22" i="36" s="1"/>
  <c r="S23" i="36"/>
  <c r="S24" i="36"/>
  <c r="Y24" i="36" s="1"/>
  <c r="S25" i="36"/>
  <c r="S26" i="36"/>
  <c r="Y26" i="36" s="1"/>
  <c r="Z26" i="36" s="1"/>
  <c r="S27" i="36"/>
  <c r="Y27" i="36" s="1"/>
  <c r="S28" i="36"/>
  <c r="Y28" i="36" s="1"/>
  <c r="Z28" i="36" s="1"/>
  <c r="S29" i="36"/>
  <c r="S6" i="36"/>
  <c r="Y6" i="36" s="1"/>
  <c r="C46" i="36"/>
  <c r="Y32" i="36"/>
  <c r="S31" i="36"/>
  <c r="Y31" i="36" s="1"/>
  <c r="Z31" i="36" s="1"/>
  <c r="X30" i="36"/>
  <c r="W30" i="36"/>
  <c r="V30" i="36"/>
  <c r="U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T23" i="36"/>
  <c r="Y23" i="36"/>
  <c r="Y21" i="36"/>
  <c r="Y15" i="36"/>
  <c r="T14" i="36"/>
  <c r="Y14" i="36"/>
  <c r="Z14" i="36" s="1"/>
  <c r="T11" i="36"/>
  <c r="Y7" i="36"/>
  <c r="T31" i="36" l="1"/>
  <c r="T9" i="36"/>
  <c r="T15" i="36"/>
  <c r="Z8" i="36"/>
  <c r="T7" i="36"/>
  <c r="T27" i="36"/>
  <c r="T18" i="36"/>
  <c r="T25" i="36"/>
  <c r="Z24" i="36"/>
  <c r="T10" i="36"/>
  <c r="Z22" i="36"/>
  <c r="Z10" i="36"/>
  <c r="T26" i="36"/>
  <c r="T17" i="36"/>
  <c r="Z16" i="36"/>
  <c r="Y19" i="36"/>
  <c r="Z19" i="36" s="1"/>
  <c r="T29" i="36"/>
  <c r="T21" i="36"/>
  <c r="T13" i="36"/>
  <c r="Y17" i="36"/>
  <c r="Y13" i="36"/>
  <c r="Z13" i="36" s="1"/>
  <c r="T22" i="36"/>
  <c r="Y9" i="36"/>
  <c r="Z9" i="36" s="1"/>
  <c r="Y25" i="36"/>
  <c r="Z25" i="36" s="1"/>
  <c r="Y12" i="36"/>
  <c r="Z12" i="36" s="1"/>
  <c r="Y29" i="36"/>
  <c r="T12" i="36"/>
  <c r="T16" i="36"/>
  <c r="T20" i="36"/>
  <c r="T24" i="36"/>
  <c r="T28" i="36"/>
  <c r="T8" i="36"/>
  <c r="T6" i="36"/>
  <c r="Z7" i="36"/>
  <c r="Z11" i="36"/>
  <c r="Z15" i="36"/>
  <c r="Z21" i="36"/>
  <c r="Z23" i="36"/>
  <c r="Z27" i="36"/>
  <c r="Z29" i="36"/>
  <c r="Z6" i="36"/>
  <c r="S30" i="36"/>
  <c r="Y32" i="20"/>
  <c r="S31" i="20"/>
  <c r="T31" i="20" s="1"/>
  <c r="X30" i="20"/>
  <c r="W30" i="20"/>
  <c r="V30" i="20"/>
  <c r="U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S29" i="20"/>
  <c r="S28" i="20"/>
  <c r="S27" i="20"/>
  <c r="S26" i="20"/>
  <c r="T26" i="20" s="1"/>
  <c r="S25" i="20"/>
  <c r="T25" i="20" s="1"/>
  <c r="S24" i="20"/>
  <c r="S23" i="20"/>
  <c r="S22" i="20"/>
  <c r="S21" i="20"/>
  <c r="S20" i="20"/>
  <c r="S19" i="20"/>
  <c r="S18" i="20"/>
  <c r="T18" i="20" s="1"/>
  <c r="S17" i="20"/>
  <c r="T17" i="20" s="1"/>
  <c r="S16" i="20"/>
  <c r="S15" i="20"/>
  <c r="S14" i="20"/>
  <c r="S13" i="20"/>
  <c r="S12" i="20"/>
  <c r="S11" i="20"/>
  <c r="S10" i="20"/>
  <c r="T10" i="20" s="1"/>
  <c r="S9" i="20"/>
  <c r="T9" i="20" s="1"/>
  <c r="S8" i="20"/>
  <c r="S7" i="20"/>
  <c r="S6" i="20"/>
  <c r="T11" i="20" l="1"/>
  <c r="T20" i="20"/>
  <c r="T13" i="20"/>
  <c r="T6" i="20"/>
  <c r="T14" i="20"/>
  <c r="T22" i="20"/>
  <c r="T19" i="20"/>
  <c r="T12" i="20"/>
  <c r="T29" i="20"/>
  <c r="T7" i="20"/>
  <c r="T15" i="20"/>
  <c r="T23" i="20"/>
  <c r="T27" i="20"/>
  <c r="T28" i="20"/>
  <c r="T21" i="20"/>
  <c r="T8" i="20"/>
  <c r="T30" i="20" s="1"/>
  <c r="T16" i="20"/>
  <c r="T24" i="20"/>
  <c r="Y30" i="36"/>
  <c r="Z17" i="36"/>
  <c r="Z30" i="36" s="1"/>
  <c r="T30" i="36"/>
  <c r="S30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1" i="20"/>
  <c r="Z31" i="20" s="1"/>
  <c r="Z26" i="20" l="1"/>
  <c r="Z22" i="20"/>
  <c r="Z18" i="20"/>
  <c r="Z28" i="20"/>
  <c r="Z24" i="20"/>
  <c r="Z20" i="20"/>
  <c r="Z16" i="20"/>
  <c r="Z12" i="20"/>
  <c r="Z8" i="20"/>
  <c r="Z29" i="20"/>
  <c r="Z25" i="20"/>
  <c r="Z21" i="20"/>
  <c r="Z17" i="20"/>
  <c r="Z13" i="20"/>
  <c r="Z9" i="20"/>
  <c r="Y30" i="20"/>
  <c r="Z6" i="20"/>
  <c r="Z14" i="20"/>
  <c r="Z10" i="20"/>
  <c r="Z27" i="20"/>
  <c r="Z23" i="20"/>
  <c r="Z19" i="20"/>
  <c r="Z15" i="20"/>
  <c r="Z11" i="20"/>
  <c r="Z7" i="20"/>
  <c r="Y32" i="15"/>
  <c r="Y31" i="15"/>
  <c r="Z31" i="15" s="1"/>
  <c r="T31" i="15"/>
  <c r="S31" i="15"/>
  <c r="X30" i="15"/>
  <c r="W30" i="15"/>
  <c r="V30" i="15"/>
  <c r="U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S29" i="15"/>
  <c r="Y29" i="15" s="1"/>
  <c r="Z29" i="15" s="1"/>
  <c r="S28" i="15"/>
  <c r="Y28" i="15" s="1"/>
  <c r="Z28" i="15" s="1"/>
  <c r="Y27" i="15"/>
  <c r="Z27" i="15" s="1"/>
  <c r="S27" i="15"/>
  <c r="T27" i="15" s="1"/>
  <c r="Y26" i="15"/>
  <c r="Z26" i="15" s="1"/>
  <c r="T26" i="15"/>
  <c r="S26" i="15"/>
  <c r="S25" i="15"/>
  <c r="T25" i="15" s="1"/>
  <c r="S24" i="15"/>
  <c r="Y24" i="15" s="1"/>
  <c r="Z24" i="15" s="1"/>
  <c r="Y23" i="15"/>
  <c r="Z23" i="15" s="1"/>
  <c r="S23" i="15"/>
  <c r="T23" i="15" s="1"/>
  <c r="Y22" i="15"/>
  <c r="Z22" i="15" s="1"/>
  <c r="T22" i="15"/>
  <c r="S22" i="15"/>
  <c r="S21" i="15"/>
  <c r="T21" i="15" s="1"/>
  <c r="S20" i="15"/>
  <c r="Y20" i="15" s="1"/>
  <c r="Z20" i="15" s="1"/>
  <c r="Y19" i="15"/>
  <c r="Z19" i="15" s="1"/>
  <c r="S19" i="15"/>
  <c r="T19" i="15" s="1"/>
  <c r="Y18" i="15"/>
  <c r="Z18" i="15" s="1"/>
  <c r="T18" i="15"/>
  <c r="S18" i="15"/>
  <c r="S17" i="15"/>
  <c r="T17" i="15" s="1"/>
  <c r="S16" i="15"/>
  <c r="Y16" i="15" s="1"/>
  <c r="Z16" i="15" s="1"/>
  <c r="Y15" i="15"/>
  <c r="Z15" i="15" s="1"/>
  <c r="S15" i="15"/>
  <c r="T15" i="15" s="1"/>
  <c r="Y14" i="15"/>
  <c r="Z14" i="15" s="1"/>
  <c r="T14" i="15"/>
  <c r="S14" i="15"/>
  <c r="S13" i="15"/>
  <c r="Y13" i="15" s="1"/>
  <c r="Z13" i="15" s="1"/>
  <c r="S12" i="15"/>
  <c r="Y12" i="15" s="1"/>
  <c r="Z12" i="15" s="1"/>
  <c r="Y11" i="15"/>
  <c r="Z11" i="15" s="1"/>
  <c r="S11" i="15"/>
  <c r="T11" i="15" s="1"/>
  <c r="Y10" i="15"/>
  <c r="Z10" i="15" s="1"/>
  <c r="T10" i="15"/>
  <c r="S10" i="15"/>
  <c r="S9" i="15"/>
  <c r="T9" i="15" s="1"/>
  <c r="S8" i="15"/>
  <c r="Y8" i="15" s="1"/>
  <c r="Z8" i="15" s="1"/>
  <c r="Y7" i="15"/>
  <c r="Z7" i="15" s="1"/>
  <c r="S7" i="15"/>
  <c r="T7" i="15" s="1"/>
  <c r="Y6" i="15"/>
  <c r="Z6" i="15" s="1"/>
  <c r="T6" i="15"/>
  <c r="S6" i="15"/>
  <c r="Y9" i="15" l="1"/>
  <c r="Z9" i="15" s="1"/>
  <c r="T12" i="15"/>
  <c r="Y17" i="15"/>
  <c r="Z17" i="15" s="1"/>
  <c r="T20" i="15"/>
  <c r="Y25" i="15"/>
  <c r="Z25" i="15" s="1"/>
  <c r="T28" i="15"/>
  <c r="T13" i="15"/>
  <c r="T29" i="15"/>
  <c r="T8" i="15"/>
  <c r="T30" i="15" s="1"/>
  <c r="T16" i="15"/>
  <c r="Y21" i="15"/>
  <c r="Z21" i="15" s="1"/>
  <c r="T24" i="15"/>
  <c r="S30" i="15"/>
  <c r="Z30" i="20"/>
  <c r="Z30" i="15"/>
  <c r="Y32" i="9"/>
  <c r="Y31" i="9"/>
  <c r="Z31" i="9" s="1"/>
  <c r="S31" i="9"/>
  <c r="T31" i="9" s="1"/>
  <c r="S29" i="9"/>
  <c r="T29" i="9" s="1"/>
  <c r="S28" i="9"/>
  <c r="T28" i="9" s="1"/>
  <c r="S27" i="9"/>
  <c r="T27" i="9" s="1"/>
  <c r="S26" i="9"/>
  <c r="S25" i="9"/>
  <c r="S24" i="9"/>
  <c r="T24" i="9" s="1"/>
  <c r="S23" i="9"/>
  <c r="T23" i="9" s="1"/>
  <c r="S22" i="9"/>
  <c r="T22" i="9" s="1"/>
  <c r="S21" i="9"/>
  <c r="T21" i="9" s="1"/>
  <c r="S20" i="9"/>
  <c r="T20" i="9" s="1"/>
  <c r="S19" i="9"/>
  <c r="T19" i="9" s="1"/>
  <c r="S18" i="9"/>
  <c r="S17" i="9"/>
  <c r="S16" i="9"/>
  <c r="T16" i="9" s="1"/>
  <c r="S15" i="9"/>
  <c r="T15" i="9" s="1"/>
  <c r="S14" i="9"/>
  <c r="T14" i="9" s="1"/>
  <c r="S13" i="9"/>
  <c r="T13" i="9" s="1"/>
  <c r="S12" i="9"/>
  <c r="T12" i="9" s="1"/>
  <c r="S11" i="9"/>
  <c r="T11" i="9" s="1"/>
  <c r="S10" i="9"/>
  <c r="S9" i="9"/>
  <c r="T9" i="9" s="1"/>
  <c r="S8" i="9"/>
  <c r="T8" i="9" s="1"/>
  <c r="S7" i="9"/>
  <c r="T7" i="9" s="1"/>
  <c r="X30" i="9"/>
  <c r="W30" i="9"/>
  <c r="V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T17" i="9" l="1"/>
  <c r="T25" i="9"/>
  <c r="T10" i="9"/>
  <c r="T18" i="9"/>
  <c r="Y30" i="15"/>
  <c r="Y24" i="9"/>
  <c r="Z24" i="9" s="1"/>
  <c r="Y28" i="9"/>
  <c r="Z28" i="9" s="1"/>
  <c r="Y7" i="9"/>
  <c r="Z7" i="9" s="1"/>
  <c r="Y8" i="9"/>
  <c r="Z8" i="9" s="1"/>
  <c r="Y9" i="9"/>
  <c r="Z9" i="9" s="1"/>
  <c r="Y10" i="9"/>
  <c r="Z10" i="9" s="1"/>
  <c r="Y11" i="9"/>
  <c r="Z11" i="9" s="1"/>
  <c r="Y12" i="9"/>
  <c r="Z12" i="9" s="1"/>
  <c r="Y13" i="9"/>
  <c r="Z13" i="9" s="1"/>
  <c r="Y14" i="9"/>
  <c r="Z14" i="9" s="1"/>
  <c r="Y15" i="9"/>
  <c r="Z15" i="9" s="1"/>
  <c r="Y16" i="9"/>
  <c r="Z16" i="9" s="1"/>
  <c r="Y17" i="9"/>
  <c r="Z17" i="9" s="1"/>
  <c r="Y18" i="9"/>
  <c r="Z18" i="9" s="1"/>
  <c r="Y29" i="9"/>
  <c r="Z29" i="9" s="1"/>
  <c r="T26" i="9"/>
  <c r="Y26" i="9"/>
  <c r="Z26" i="9" s="1"/>
  <c r="Y21" i="9"/>
  <c r="Z21" i="9" s="1"/>
  <c r="Y22" i="9"/>
  <c r="Z22" i="9" s="1"/>
  <c r="Y20" i="9"/>
  <c r="Z20" i="9" s="1"/>
  <c r="Y25" i="9"/>
  <c r="Z25" i="9" s="1"/>
  <c r="Y27" i="9"/>
  <c r="Z27" i="9" s="1"/>
  <c r="S6" i="9"/>
  <c r="Y23" i="9"/>
  <c r="Z23" i="9" s="1"/>
  <c r="S30" i="9" l="1"/>
  <c r="T6" i="9"/>
  <c r="T30" i="9" s="1"/>
  <c r="Y6" i="9"/>
  <c r="Z6" i="9" l="1"/>
  <c r="Y19" i="9"/>
  <c r="Z19" i="9" s="1"/>
  <c r="U30" i="9"/>
  <c r="Y30" i="9" l="1"/>
  <c r="Z30" i="9"/>
  <c r="Y32" i="57" l="1"/>
  <c r="S31" i="57"/>
  <c r="T31" i="57" s="1"/>
  <c r="X30" i="57"/>
  <c r="W30" i="57"/>
  <c r="R30" i="57"/>
  <c r="P30" i="57"/>
  <c r="O30" i="57"/>
  <c r="N30" i="57"/>
  <c r="M30" i="57"/>
  <c r="L30" i="57"/>
  <c r="K30" i="57"/>
  <c r="I30" i="57"/>
  <c r="G30" i="57"/>
  <c r="D30" i="57"/>
  <c r="S29" i="57"/>
  <c r="S28" i="57"/>
  <c r="T28" i="57" s="1"/>
  <c r="S27" i="57"/>
  <c r="S26" i="57"/>
  <c r="S25" i="57"/>
  <c r="S24" i="57"/>
  <c r="T24" i="57" s="1"/>
  <c r="S23" i="57"/>
  <c r="S22" i="57"/>
  <c r="S21" i="57"/>
  <c r="S20" i="57"/>
  <c r="T20" i="57" s="1"/>
  <c r="S19" i="57"/>
  <c r="S18" i="57"/>
  <c r="S17" i="57"/>
  <c r="T17" i="57" s="1"/>
  <c r="E30" i="57"/>
  <c r="S15" i="57"/>
  <c r="S14" i="57"/>
  <c r="S13" i="57"/>
  <c r="S12" i="57"/>
  <c r="T12" i="57" s="1"/>
  <c r="S11" i="57"/>
  <c r="S10" i="57"/>
  <c r="T10" i="57" s="1"/>
  <c r="S9" i="57"/>
  <c r="V30" i="57"/>
  <c r="S6" i="57"/>
  <c r="Q30" i="57" l="1"/>
  <c r="T21" i="57"/>
  <c r="T29" i="57"/>
  <c r="T14" i="57"/>
  <c r="T26" i="57"/>
  <c r="T15" i="57"/>
  <c r="H30" i="57"/>
  <c r="T19" i="57"/>
  <c r="T23" i="57"/>
  <c r="T27" i="57"/>
  <c r="T25" i="57"/>
  <c r="T13" i="57"/>
  <c r="T22" i="57"/>
  <c r="T18" i="57"/>
  <c r="T9" i="57"/>
  <c r="T11" i="57"/>
  <c r="J30" i="57"/>
  <c r="S8" i="57"/>
  <c r="T8" i="57" s="1"/>
  <c r="S16" i="57"/>
  <c r="T16" i="57" s="1"/>
  <c r="S7" i="57"/>
  <c r="T7" i="57" s="1"/>
  <c r="Y6" i="57"/>
  <c r="Y9" i="57"/>
  <c r="Y8" i="57"/>
  <c r="Y13" i="57"/>
  <c r="Y12" i="57"/>
  <c r="Y10" i="57"/>
  <c r="Y14" i="57"/>
  <c r="Y11" i="57"/>
  <c r="Y15" i="57"/>
  <c r="T6" i="57"/>
  <c r="S30" i="57"/>
  <c r="Y16" i="57"/>
  <c r="Y17" i="57"/>
  <c r="Y18" i="57"/>
  <c r="Y19" i="57"/>
  <c r="Y20" i="57"/>
  <c r="Y21" i="57"/>
  <c r="Y22" i="57"/>
  <c r="Y23" i="57"/>
  <c r="Y24" i="57"/>
  <c r="Y25" i="57"/>
  <c r="Y26" i="57"/>
  <c r="Y27" i="57"/>
  <c r="Y28" i="57"/>
  <c r="Y29" i="57"/>
  <c r="C30" i="57"/>
  <c r="U30" i="57"/>
  <c r="Y31" i="57"/>
  <c r="Z31" i="57" s="1"/>
  <c r="F30" i="57"/>
  <c r="Y7" i="57" l="1"/>
  <c r="Y30" i="57" s="1"/>
  <c r="T30" i="57"/>
  <c r="Z28" i="57"/>
  <c r="Z24" i="57"/>
  <c r="Z20" i="57"/>
  <c r="Z16" i="57"/>
  <c r="Z12" i="57"/>
  <c r="Z8" i="57"/>
  <c r="Z6" i="57"/>
  <c r="Z29" i="57"/>
  <c r="Z25" i="57"/>
  <c r="Z21" i="57"/>
  <c r="Z17" i="57"/>
  <c r="Z13" i="57"/>
  <c r="Z9" i="57"/>
  <c r="Z26" i="57"/>
  <c r="Z22" i="57"/>
  <c r="Z18" i="57"/>
  <c r="Z14" i="57"/>
  <c r="Z10" i="57"/>
  <c r="Z27" i="57"/>
  <c r="Z23" i="57"/>
  <c r="Z19" i="57"/>
  <c r="Z15" i="57"/>
  <c r="Z11" i="57"/>
  <c r="Z7" i="57"/>
  <c r="Z30" i="57" l="1"/>
  <c r="Y32" i="53" l="1"/>
  <c r="Y31" i="53"/>
  <c r="Z31" i="53" s="1"/>
  <c r="S31" i="53"/>
  <c r="T31" i="53" s="1"/>
  <c r="X30" i="53"/>
  <c r="W30" i="53"/>
  <c r="V30" i="53"/>
  <c r="U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Y29" i="53"/>
  <c r="T29" i="53"/>
  <c r="S29" i="53"/>
  <c r="S28" i="53"/>
  <c r="Y28" i="53" s="1"/>
  <c r="Z28" i="53" s="1"/>
  <c r="Y27" i="53"/>
  <c r="Z27" i="53" s="1"/>
  <c r="T27" i="53"/>
  <c r="S27" i="53"/>
  <c r="Y26" i="53"/>
  <c r="Z26" i="53" s="1"/>
  <c r="S26" i="53"/>
  <c r="T26" i="53" s="1"/>
  <c r="S25" i="53"/>
  <c r="Y25" i="53" s="1"/>
  <c r="Z25" i="53" s="1"/>
  <c r="Y24" i="53"/>
  <c r="Z24" i="53" s="1"/>
  <c r="S24" i="53"/>
  <c r="T24" i="53" s="1"/>
  <c r="S23" i="53"/>
  <c r="Y23" i="53" s="1"/>
  <c r="Z23" i="53" s="1"/>
  <c r="S22" i="53"/>
  <c r="Y22" i="53" s="1"/>
  <c r="Z22" i="53" s="1"/>
  <c r="Y21" i="53"/>
  <c r="T21" i="53"/>
  <c r="S21" i="53"/>
  <c r="S20" i="53"/>
  <c r="Y20" i="53" s="1"/>
  <c r="Z20" i="53" s="1"/>
  <c r="Y19" i="53"/>
  <c r="Z19" i="53" s="1"/>
  <c r="T19" i="53"/>
  <c r="S19" i="53"/>
  <c r="Y18" i="53"/>
  <c r="Z18" i="53" s="1"/>
  <c r="S18" i="53"/>
  <c r="T18" i="53" s="1"/>
  <c r="S17" i="53"/>
  <c r="Y17" i="53" s="1"/>
  <c r="Z17" i="53" s="1"/>
  <c r="Y16" i="53"/>
  <c r="Z16" i="53" s="1"/>
  <c r="S16" i="53"/>
  <c r="T16" i="53" s="1"/>
  <c r="S15" i="53"/>
  <c r="Y15" i="53" s="1"/>
  <c r="Z15" i="53" s="1"/>
  <c r="S14" i="53"/>
  <c r="Y14" i="53" s="1"/>
  <c r="Z14" i="53" s="1"/>
  <c r="Y13" i="53"/>
  <c r="T13" i="53"/>
  <c r="S13" i="53"/>
  <c r="S12" i="53"/>
  <c r="Y12" i="53" s="1"/>
  <c r="Z12" i="53" s="1"/>
  <c r="Y11" i="53"/>
  <c r="Z11" i="53" s="1"/>
  <c r="T11" i="53"/>
  <c r="S11" i="53"/>
  <c r="Y10" i="53"/>
  <c r="Z10" i="53" s="1"/>
  <c r="S10" i="53"/>
  <c r="T10" i="53" s="1"/>
  <c r="S9" i="53"/>
  <c r="Y9" i="53" s="1"/>
  <c r="Z9" i="53" s="1"/>
  <c r="Y8" i="53"/>
  <c r="Z8" i="53" s="1"/>
  <c r="S8" i="53"/>
  <c r="T8" i="53" s="1"/>
  <c r="S7" i="53"/>
  <c r="Y7" i="53" s="1"/>
  <c r="Z7" i="53" s="1"/>
  <c r="S6" i="53"/>
  <c r="S30" i="53" s="1"/>
  <c r="T14" i="53" l="1"/>
  <c r="T22" i="53"/>
  <c r="Y6" i="53"/>
  <c r="Z6" i="53" s="1"/>
  <c r="T9" i="53"/>
  <c r="T17" i="53"/>
  <c r="T25" i="53"/>
  <c r="T12" i="53"/>
  <c r="T20" i="53"/>
  <c r="T28" i="53"/>
  <c r="T7" i="53"/>
  <c r="T15" i="53"/>
  <c r="T23" i="53"/>
  <c r="T6" i="53"/>
  <c r="Z13" i="53"/>
  <c r="Z21" i="53"/>
  <c r="Z29" i="53"/>
  <c r="Z30" i="53"/>
  <c r="Y30" i="53"/>
  <c r="T30" i="53" l="1"/>
  <c r="Y32" i="52"/>
  <c r="S31" i="52"/>
  <c r="Y31" i="52" s="1"/>
  <c r="Z31" i="52" s="1"/>
  <c r="X30" i="52"/>
  <c r="W30" i="52"/>
  <c r="V30" i="52"/>
  <c r="U30" i="52"/>
  <c r="R30" i="52"/>
  <c r="Q30" i="52"/>
  <c r="P30" i="52"/>
  <c r="O30" i="52"/>
  <c r="N30" i="52"/>
  <c r="M30" i="52"/>
  <c r="L30" i="52"/>
  <c r="K30" i="52"/>
  <c r="J30" i="52"/>
  <c r="I30" i="52"/>
  <c r="H30" i="52"/>
  <c r="G30" i="52"/>
  <c r="F30" i="52"/>
  <c r="E30" i="52"/>
  <c r="D30" i="52"/>
  <c r="C30" i="52"/>
  <c r="S29" i="52"/>
  <c r="Y29" i="52" s="1"/>
  <c r="Z29" i="52" s="1"/>
  <c r="S28" i="52"/>
  <c r="Y28" i="52" s="1"/>
  <c r="Z28" i="52" s="1"/>
  <c r="S27" i="52"/>
  <c r="Y27" i="52" s="1"/>
  <c r="Z27" i="52" s="1"/>
  <c r="S26" i="52"/>
  <c r="Y26" i="52" s="1"/>
  <c r="Z26" i="52" s="1"/>
  <c r="S25" i="52"/>
  <c r="Y25" i="52" s="1"/>
  <c r="Z25" i="52" s="1"/>
  <c r="S24" i="52"/>
  <c r="Y24" i="52" s="1"/>
  <c r="Z24" i="52" s="1"/>
  <c r="S23" i="52"/>
  <c r="Y23" i="52" s="1"/>
  <c r="Z23" i="52" s="1"/>
  <c r="S22" i="52"/>
  <c r="Y22" i="52" s="1"/>
  <c r="Z22" i="52" s="1"/>
  <c r="S21" i="52"/>
  <c r="Y21" i="52" s="1"/>
  <c r="Z21" i="52" s="1"/>
  <c r="S20" i="52"/>
  <c r="Y20" i="52" s="1"/>
  <c r="Z20" i="52" s="1"/>
  <c r="S19" i="52"/>
  <c r="Y19" i="52" s="1"/>
  <c r="Z19" i="52" s="1"/>
  <c r="S18" i="52"/>
  <c r="Y18" i="52" s="1"/>
  <c r="Z18" i="52" s="1"/>
  <c r="S17" i="52"/>
  <c r="Y17" i="52" s="1"/>
  <c r="Z17" i="52" s="1"/>
  <c r="S16" i="52"/>
  <c r="Y16" i="52" s="1"/>
  <c r="Z16" i="52" s="1"/>
  <c r="S15" i="52"/>
  <c r="Y15" i="52" s="1"/>
  <c r="Z15" i="52" s="1"/>
  <c r="S14" i="52"/>
  <c r="Y14" i="52" s="1"/>
  <c r="Z14" i="52" s="1"/>
  <c r="S13" i="52"/>
  <c r="Y13" i="52" s="1"/>
  <c r="Z13" i="52" s="1"/>
  <c r="S12" i="52"/>
  <c r="Y12" i="52" s="1"/>
  <c r="Z12" i="52" s="1"/>
  <c r="S11" i="52"/>
  <c r="Y11" i="52" s="1"/>
  <c r="Z11" i="52" s="1"/>
  <c r="S10" i="52"/>
  <c r="Y10" i="52" s="1"/>
  <c r="Z10" i="52" s="1"/>
  <c r="S9" i="52"/>
  <c r="Y9" i="52" s="1"/>
  <c r="Z9" i="52" s="1"/>
  <c r="S8" i="52"/>
  <c r="Y8" i="52" s="1"/>
  <c r="Z8" i="52" s="1"/>
  <c r="S7" i="52"/>
  <c r="Y7" i="52" s="1"/>
  <c r="Z7" i="52" s="1"/>
  <c r="S6" i="52"/>
  <c r="Y6" i="52" s="1"/>
  <c r="T10" i="52" l="1"/>
  <c r="T18" i="52"/>
  <c r="T26" i="52"/>
  <c r="T7" i="52"/>
  <c r="T15" i="52"/>
  <c r="T23" i="52"/>
  <c r="T6" i="52"/>
  <c r="T14" i="52"/>
  <c r="T22" i="52"/>
  <c r="T11" i="52"/>
  <c r="T19" i="52"/>
  <c r="T27" i="52"/>
  <c r="T8" i="52"/>
  <c r="T12" i="52"/>
  <c r="T16" i="52"/>
  <c r="T20" i="52"/>
  <c r="T24" i="52"/>
  <c r="T28" i="52"/>
  <c r="T31" i="52"/>
  <c r="T9" i="52"/>
  <c r="T13" i="52"/>
  <c r="T17" i="52"/>
  <c r="T21" i="52"/>
  <c r="T25" i="52"/>
  <c r="T29" i="52"/>
  <c r="Y30" i="52"/>
  <c r="Z6" i="52"/>
  <c r="Z30" i="52" s="1"/>
  <c r="S30" i="52"/>
  <c r="Y32" i="50"/>
  <c r="S31" i="50"/>
  <c r="T31" i="50" s="1"/>
  <c r="X30" i="50"/>
  <c r="W30" i="50"/>
  <c r="V30" i="50"/>
  <c r="U30" i="50"/>
  <c r="R30" i="50"/>
  <c r="Q30" i="50"/>
  <c r="P30" i="50"/>
  <c r="O30" i="50"/>
  <c r="N30" i="50"/>
  <c r="M30" i="50"/>
  <c r="L30" i="50"/>
  <c r="K30" i="50"/>
  <c r="J30" i="50"/>
  <c r="I30" i="50"/>
  <c r="H30" i="50"/>
  <c r="G30" i="50"/>
  <c r="F30" i="50"/>
  <c r="E30" i="50"/>
  <c r="D30" i="50"/>
  <c r="C30" i="50"/>
  <c r="S29" i="50"/>
  <c r="S28" i="50"/>
  <c r="S27" i="50"/>
  <c r="S26" i="50"/>
  <c r="T26" i="50" s="1"/>
  <c r="S25" i="50"/>
  <c r="T25" i="50" s="1"/>
  <c r="S24" i="50"/>
  <c r="T24" i="50" s="1"/>
  <c r="S23" i="50"/>
  <c r="S22" i="50"/>
  <c r="S21" i="50"/>
  <c r="S20" i="50"/>
  <c r="S19" i="50"/>
  <c r="S18" i="50"/>
  <c r="T18" i="50" s="1"/>
  <c r="S17" i="50"/>
  <c r="T17" i="50" s="1"/>
  <c r="S16" i="50"/>
  <c r="T16" i="50" s="1"/>
  <c r="S15" i="50"/>
  <c r="S14" i="50"/>
  <c r="S13" i="50"/>
  <c r="S12" i="50"/>
  <c r="S11" i="50"/>
  <c r="T11" i="50" s="1"/>
  <c r="S10" i="50"/>
  <c r="T10" i="50" s="1"/>
  <c r="S9" i="50"/>
  <c r="T9" i="50" s="1"/>
  <c r="S8" i="50"/>
  <c r="T8" i="50" s="1"/>
  <c r="S7" i="50"/>
  <c r="S6" i="50"/>
  <c r="T27" i="50" l="1"/>
  <c r="T20" i="50"/>
  <c r="T13" i="50"/>
  <c r="T29" i="50"/>
  <c r="T6" i="50"/>
  <c r="T14" i="50"/>
  <c r="T22" i="50"/>
  <c r="T30" i="52"/>
  <c r="T19" i="50"/>
  <c r="T12" i="50"/>
  <c r="T28" i="50"/>
  <c r="T21" i="50"/>
  <c r="T7" i="50"/>
  <c r="T15" i="50"/>
  <c r="T23" i="50"/>
  <c r="T30" i="50"/>
  <c r="S30" i="50"/>
  <c r="Y6" i="50"/>
  <c r="Y7" i="50"/>
  <c r="Y8" i="50"/>
  <c r="Y9" i="50"/>
  <c r="Z9" i="50" s="1"/>
  <c r="Y10" i="50"/>
  <c r="Y11" i="50"/>
  <c r="Y12" i="50"/>
  <c r="Y13" i="50"/>
  <c r="Y14" i="50"/>
  <c r="Y15" i="50"/>
  <c r="Y16" i="50"/>
  <c r="Y17" i="50"/>
  <c r="Z17" i="50" s="1"/>
  <c r="Y18" i="50"/>
  <c r="Y19" i="50"/>
  <c r="Y20" i="50"/>
  <c r="Y21" i="50"/>
  <c r="Z21" i="50" s="1"/>
  <c r="Y22" i="50"/>
  <c r="Y23" i="50"/>
  <c r="Y24" i="50"/>
  <c r="Y25" i="50"/>
  <c r="Z25" i="50" s="1"/>
  <c r="Y26" i="50"/>
  <c r="Y27" i="50"/>
  <c r="Y28" i="50"/>
  <c r="Y29" i="50"/>
  <c r="Z29" i="50" s="1"/>
  <c r="Y31" i="50"/>
  <c r="Z31" i="50" s="1"/>
  <c r="Z13" i="50" l="1"/>
  <c r="Y30" i="50"/>
  <c r="Z6" i="50"/>
  <c r="Z26" i="50"/>
  <c r="Z18" i="50"/>
  <c r="Z14" i="50"/>
  <c r="Z23" i="50"/>
  <c r="Z28" i="50"/>
  <c r="Z24" i="50"/>
  <c r="Z20" i="50"/>
  <c r="Z16" i="50"/>
  <c r="Z12" i="50"/>
  <c r="Z8" i="50"/>
  <c r="Z22" i="50"/>
  <c r="Z10" i="50"/>
  <c r="Z27" i="50"/>
  <c r="Z19" i="50"/>
  <c r="Z15" i="50"/>
  <c r="Z11" i="50"/>
  <c r="Z7" i="50"/>
  <c r="Z30" i="50" l="1"/>
  <c r="Y32" i="49" l="1"/>
  <c r="S31" i="49"/>
  <c r="Y31" i="49" s="1"/>
  <c r="Z31" i="49" s="1"/>
  <c r="X30" i="49"/>
  <c r="W30" i="49"/>
  <c r="V30" i="49"/>
  <c r="U30" i="49"/>
  <c r="R30" i="49"/>
  <c r="Q30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D30" i="49"/>
  <c r="C30" i="49"/>
  <c r="T29" i="49"/>
  <c r="S29" i="49"/>
  <c r="Y29" i="49" s="1"/>
  <c r="Z29" i="49" s="1"/>
  <c r="S28" i="49"/>
  <c r="Y28" i="49" s="1"/>
  <c r="Z28" i="49" s="1"/>
  <c r="S27" i="49"/>
  <c r="Y27" i="49" s="1"/>
  <c r="Z27" i="49" s="1"/>
  <c r="S26" i="49"/>
  <c r="Y26" i="49" s="1"/>
  <c r="Z26" i="49" s="1"/>
  <c r="T25" i="49"/>
  <c r="S25" i="49"/>
  <c r="Y25" i="49" s="1"/>
  <c r="Z25" i="49" s="1"/>
  <c r="S24" i="49"/>
  <c r="Y24" i="49" s="1"/>
  <c r="Z24" i="49" s="1"/>
  <c r="S23" i="49"/>
  <c r="Y23" i="49" s="1"/>
  <c r="Z23" i="49" s="1"/>
  <c r="S22" i="49"/>
  <c r="Y22" i="49" s="1"/>
  <c r="Z22" i="49" s="1"/>
  <c r="T21" i="49"/>
  <c r="S21" i="49"/>
  <c r="Y21" i="49" s="1"/>
  <c r="Z21" i="49" s="1"/>
  <c r="S20" i="49"/>
  <c r="Y20" i="49" s="1"/>
  <c r="Z20" i="49" s="1"/>
  <c r="S19" i="49"/>
  <c r="Y19" i="49" s="1"/>
  <c r="Z19" i="49" s="1"/>
  <c r="S18" i="49"/>
  <c r="Y18" i="49" s="1"/>
  <c r="Z18" i="49" s="1"/>
  <c r="T17" i="49"/>
  <c r="S17" i="49"/>
  <c r="Y17" i="49" s="1"/>
  <c r="Z17" i="49" s="1"/>
  <c r="S16" i="49"/>
  <c r="Y16" i="49" s="1"/>
  <c r="Z16" i="49" s="1"/>
  <c r="S15" i="49"/>
  <c r="Y15" i="49" s="1"/>
  <c r="Z15" i="49" s="1"/>
  <c r="S14" i="49"/>
  <c r="Y14" i="49" s="1"/>
  <c r="Z14" i="49" s="1"/>
  <c r="T13" i="49"/>
  <c r="S13" i="49"/>
  <c r="Y13" i="49" s="1"/>
  <c r="Z13" i="49" s="1"/>
  <c r="S12" i="49"/>
  <c r="Y12" i="49" s="1"/>
  <c r="Z12" i="49" s="1"/>
  <c r="S11" i="49"/>
  <c r="Y11" i="49" s="1"/>
  <c r="Z11" i="49" s="1"/>
  <c r="S10" i="49"/>
  <c r="Y10" i="49" s="1"/>
  <c r="Z10" i="49" s="1"/>
  <c r="T9" i="49"/>
  <c r="S9" i="49"/>
  <c r="Y9" i="49" s="1"/>
  <c r="Z9" i="49" s="1"/>
  <c r="S8" i="49"/>
  <c r="Y8" i="49" s="1"/>
  <c r="Z8" i="49" s="1"/>
  <c r="S7" i="49"/>
  <c r="Y7" i="49" s="1"/>
  <c r="Z7" i="49" s="1"/>
  <c r="S6" i="49"/>
  <c r="Y6" i="49" s="1"/>
  <c r="T6" i="49" l="1"/>
  <c r="T18" i="49"/>
  <c r="T8" i="49"/>
  <c r="T12" i="49"/>
  <c r="T16" i="49"/>
  <c r="T20" i="49"/>
  <c r="T24" i="49"/>
  <c r="T28" i="49"/>
  <c r="T31" i="49"/>
  <c r="T10" i="49"/>
  <c r="T14" i="49"/>
  <c r="T22" i="49"/>
  <c r="T26" i="49"/>
  <c r="T7" i="49"/>
  <c r="T11" i="49"/>
  <c r="T15" i="49"/>
  <c r="T19" i="49"/>
  <c r="T23" i="49"/>
  <c r="T27" i="49"/>
  <c r="Y30" i="49"/>
  <c r="Z6" i="49"/>
  <c r="Z30" i="49" s="1"/>
  <c r="S30" i="49"/>
  <c r="T30" i="49" l="1"/>
  <c r="Y32" i="47"/>
  <c r="S31" i="47"/>
  <c r="Y31" i="47" s="1"/>
  <c r="Z31" i="47" s="1"/>
  <c r="X30" i="47"/>
  <c r="W30" i="47"/>
  <c r="V30" i="47"/>
  <c r="U30" i="47"/>
  <c r="R30" i="47"/>
  <c r="Q30" i="47"/>
  <c r="P30" i="47"/>
  <c r="O30" i="47"/>
  <c r="N30" i="47"/>
  <c r="M30" i="47"/>
  <c r="L30" i="47"/>
  <c r="K30" i="47"/>
  <c r="J30" i="47"/>
  <c r="I30" i="47"/>
  <c r="H30" i="47"/>
  <c r="G30" i="47"/>
  <c r="F30" i="47"/>
  <c r="E30" i="47"/>
  <c r="D30" i="47"/>
  <c r="C30" i="47"/>
  <c r="S29" i="47"/>
  <c r="Y29" i="47" s="1"/>
  <c r="Z29" i="47" s="1"/>
  <c r="S28" i="47"/>
  <c r="Y28" i="47" s="1"/>
  <c r="Z28" i="47" s="1"/>
  <c r="S27" i="47"/>
  <c r="Y27" i="47" s="1"/>
  <c r="Z27" i="47" s="1"/>
  <c r="S26" i="47"/>
  <c r="Y26" i="47" s="1"/>
  <c r="Z26" i="47" s="1"/>
  <c r="S25" i="47"/>
  <c r="Y25" i="47" s="1"/>
  <c r="Z25" i="47" s="1"/>
  <c r="S24" i="47"/>
  <c r="Y24" i="47" s="1"/>
  <c r="Z24" i="47" s="1"/>
  <c r="S23" i="47"/>
  <c r="Y23" i="47" s="1"/>
  <c r="Z23" i="47" s="1"/>
  <c r="S22" i="47"/>
  <c r="Y22" i="47" s="1"/>
  <c r="Z22" i="47" s="1"/>
  <c r="S21" i="47"/>
  <c r="Y21" i="47" s="1"/>
  <c r="Z21" i="47" s="1"/>
  <c r="S20" i="47"/>
  <c r="Y20" i="47" s="1"/>
  <c r="Z20" i="47" s="1"/>
  <c r="S19" i="47"/>
  <c r="Y19" i="47" s="1"/>
  <c r="Z19" i="47" s="1"/>
  <c r="S18" i="47"/>
  <c r="Y18" i="47" s="1"/>
  <c r="Z18" i="47" s="1"/>
  <c r="S17" i="47"/>
  <c r="Y17" i="47" s="1"/>
  <c r="Z17" i="47" s="1"/>
  <c r="S16" i="47"/>
  <c r="Y16" i="47" s="1"/>
  <c r="Z16" i="47" s="1"/>
  <c r="S15" i="47"/>
  <c r="Y15" i="47" s="1"/>
  <c r="Z15" i="47" s="1"/>
  <c r="S14" i="47"/>
  <c r="Y14" i="47" s="1"/>
  <c r="Z14" i="47" s="1"/>
  <c r="S13" i="47"/>
  <c r="Y13" i="47" s="1"/>
  <c r="Z13" i="47" s="1"/>
  <c r="S12" i="47"/>
  <c r="Y12" i="47" s="1"/>
  <c r="Z12" i="47" s="1"/>
  <c r="S11" i="47"/>
  <c r="Y11" i="47" s="1"/>
  <c r="Z11" i="47" s="1"/>
  <c r="S10" i="47"/>
  <c r="Y10" i="47" s="1"/>
  <c r="Z10" i="47" s="1"/>
  <c r="S9" i="47"/>
  <c r="Y9" i="47" s="1"/>
  <c r="Z9" i="47" s="1"/>
  <c r="S8" i="47"/>
  <c r="Y8" i="47" s="1"/>
  <c r="Z8" i="47" s="1"/>
  <c r="S7" i="47"/>
  <c r="Y7" i="47" s="1"/>
  <c r="Z7" i="47" s="1"/>
  <c r="S6" i="47"/>
  <c r="Y6" i="47" s="1"/>
  <c r="T6" i="47" l="1"/>
  <c r="T10" i="47"/>
  <c r="T14" i="47"/>
  <c r="T18" i="47"/>
  <c r="T22" i="47"/>
  <c r="T26" i="47"/>
  <c r="T7" i="47"/>
  <c r="T11" i="47"/>
  <c r="T15" i="47"/>
  <c r="T19" i="47"/>
  <c r="T23" i="47"/>
  <c r="T27" i="47"/>
  <c r="T8" i="47"/>
  <c r="T12" i="47"/>
  <c r="T16" i="47"/>
  <c r="T20" i="47"/>
  <c r="T24" i="47"/>
  <c r="T28" i="47"/>
  <c r="T31" i="47"/>
  <c r="T9" i="47"/>
  <c r="T13" i="47"/>
  <c r="T17" i="47"/>
  <c r="T21" i="47"/>
  <c r="T25" i="47"/>
  <c r="T29" i="47"/>
  <c r="Y30" i="47"/>
  <c r="Z6" i="47"/>
  <c r="Z30" i="47" s="1"/>
  <c r="S30" i="47"/>
  <c r="T30" i="47" l="1"/>
  <c r="Y32" i="33"/>
  <c r="T31" i="33"/>
  <c r="S31" i="33"/>
  <c r="Y31" i="33" s="1"/>
  <c r="Z31" i="33" s="1"/>
  <c r="X30" i="33"/>
  <c r="W30" i="33"/>
  <c r="V30" i="33"/>
  <c r="U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S29" i="33"/>
  <c r="Y29" i="33" s="1"/>
  <c r="Z29" i="33" s="1"/>
  <c r="T28" i="33"/>
  <c r="S28" i="33"/>
  <c r="Y28" i="33" s="1"/>
  <c r="Z28" i="33" s="1"/>
  <c r="S27" i="33"/>
  <c r="Y27" i="33" s="1"/>
  <c r="Z27" i="33" s="1"/>
  <c r="S26" i="33"/>
  <c r="Y26" i="33" s="1"/>
  <c r="Z26" i="33" s="1"/>
  <c r="S25" i="33"/>
  <c r="Y25" i="33" s="1"/>
  <c r="Z25" i="33" s="1"/>
  <c r="T24" i="33"/>
  <c r="S24" i="33"/>
  <c r="Y24" i="33" s="1"/>
  <c r="Z24" i="33" s="1"/>
  <c r="S23" i="33"/>
  <c r="Y23" i="33" s="1"/>
  <c r="Z23" i="33" s="1"/>
  <c r="S22" i="33"/>
  <c r="Y22" i="33" s="1"/>
  <c r="Z22" i="33" s="1"/>
  <c r="S21" i="33"/>
  <c r="Y21" i="33" s="1"/>
  <c r="Z21" i="33" s="1"/>
  <c r="T20" i="33"/>
  <c r="S20" i="33"/>
  <c r="Y20" i="33" s="1"/>
  <c r="Z20" i="33" s="1"/>
  <c r="S19" i="33"/>
  <c r="Y19" i="33" s="1"/>
  <c r="Z19" i="33" s="1"/>
  <c r="S18" i="33"/>
  <c r="Y18" i="33" s="1"/>
  <c r="Z18" i="33" s="1"/>
  <c r="S17" i="33"/>
  <c r="Y17" i="33" s="1"/>
  <c r="Z17" i="33" s="1"/>
  <c r="S16" i="33"/>
  <c r="Y16" i="33" s="1"/>
  <c r="Z16" i="33" s="1"/>
  <c r="S15" i="33"/>
  <c r="Y15" i="33" s="1"/>
  <c r="Z15" i="33" s="1"/>
  <c r="S14" i="33"/>
  <c r="Y14" i="33" s="1"/>
  <c r="Z14" i="33" s="1"/>
  <c r="S13" i="33"/>
  <c r="Y13" i="33" s="1"/>
  <c r="Z13" i="33" s="1"/>
  <c r="S12" i="33"/>
  <c r="Y12" i="33" s="1"/>
  <c r="Z12" i="33" s="1"/>
  <c r="S11" i="33"/>
  <c r="Y11" i="33" s="1"/>
  <c r="Z11" i="33" s="1"/>
  <c r="S10" i="33"/>
  <c r="Y10" i="33" s="1"/>
  <c r="Z10" i="33" s="1"/>
  <c r="S9" i="33"/>
  <c r="Y9" i="33" s="1"/>
  <c r="Z9" i="33" s="1"/>
  <c r="S8" i="33"/>
  <c r="Y8" i="33" s="1"/>
  <c r="Z8" i="33" s="1"/>
  <c r="S7" i="33"/>
  <c r="Y7" i="33" s="1"/>
  <c r="Z7" i="33" s="1"/>
  <c r="S6" i="33"/>
  <c r="Y6" i="33" s="1"/>
  <c r="T9" i="33" l="1"/>
  <c r="T19" i="33"/>
  <c r="T18" i="33"/>
  <c r="T10" i="33"/>
  <c r="T23" i="33"/>
  <c r="T16" i="33"/>
  <c r="T13" i="33"/>
  <c r="T22" i="33"/>
  <c r="T26" i="33"/>
  <c r="T6" i="33"/>
  <c r="T14" i="33"/>
  <c r="T27" i="33"/>
  <c r="T7" i="33"/>
  <c r="T11" i="33"/>
  <c r="T8" i="33"/>
  <c r="T12" i="33"/>
  <c r="T21" i="33"/>
  <c r="T25" i="33"/>
  <c r="T29" i="33"/>
  <c r="T15" i="33"/>
  <c r="T17" i="33"/>
  <c r="Y30" i="33"/>
  <c r="Z6" i="33"/>
  <c r="Z30" i="33" s="1"/>
  <c r="S30" i="33"/>
  <c r="T30" i="33" l="1"/>
  <c r="Y32" i="27"/>
  <c r="S31" i="27"/>
  <c r="Y31" i="27" s="1"/>
  <c r="Z31" i="27" s="1"/>
  <c r="X30" i="27"/>
  <c r="W30" i="27"/>
  <c r="V30" i="27"/>
  <c r="U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S29" i="27"/>
  <c r="Y29" i="27" s="1"/>
  <c r="Z29" i="27" s="1"/>
  <c r="Y28" i="27"/>
  <c r="S28" i="27"/>
  <c r="Y27" i="27"/>
  <c r="Z27" i="27" s="1"/>
  <c r="S27" i="27"/>
  <c r="S26" i="27"/>
  <c r="T26" i="27" s="1"/>
  <c r="S25" i="27"/>
  <c r="S24" i="27"/>
  <c r="S23" i="27"/>
  <c r="T23" i="27" s="1"/>
  <c r="S22" i="27"/>
  <c r="Y22" i="27" s="1"/>
  <c r="Z22" i="27" s="1"/>
  <c r="S21" i="27"/>
  <c r="T21" i="27" s="1"/>
  <c r="S20" i="27"/>
  <c r="T20" i="27" s="1"/>
  <c r="S19" i="27"/>
  <c r="T19" i="27" s="1"/>
  <c r="S18" i="27"/>
  <c r="S17" i="27"/>
  <c r="S16" i="27"/>
  <c r="S15" i="27"/>
  <c r="S14" i="27"/>
  <c r="S13" i="27"/>
  <c r="T13" i="27" s="1"/>
  <c r="S12" i="27"/>
  <c r="T12" i="27" s="1"/>
  <c r="S11" i="27"/>
  <c r="T11" i="27" s="1"/>
  <c r="S10" i="27"/>
  <c r="S9" i="27"/>
  <c r="S8" i="27"/>
  <c r="S7" i="27"/>
  <c r="S6" i="27"/>
  <c r="T6" i="27" s="1"/>
  <c r="Z28" i="27" l="1"/>
  <c r="T14" i="27"/>
  <c r="Y21" i="27"/>
  <c r="Z21" i="27" s="1"/>
  <c r="T24" i="27"/>
  <c r="T29" i="27"/>
  <c r="T31" i="27"/>
  <c r="T7" i="27"/>
  <c r="T30" i="27" s="1"/>
  <c r="T15" i="27"/>
  <c r="Y24" i="27"/>
  <c r="Z24" i="27" s="1"/>
  <c r="T27" i="27"/>
  <c r="Y23" i="27"/>
  <c r="Z23" i="27" s="1"/>
  <c r="T16" i="27"/>
  <c r="T9" i="27"/>
  <c r="T17" i="27"/>
  <c r="T25" i="27"/>
  <c r="Y26" i="27"/>
  <c r="Z26" i="27" s="1"/>
  <c r="T8" i="27"/>
  <c r="T22" i="27"/>
  <c r="T10" i="27"/>
  <c r="T18" i="27"/>
  <c r="Y25" i="27"/>
  <c r="Z25" i="27" s="1"/>
  <c r="T28" i="27"/>
  <c r="S30" i="27"/>
  <c r="Y6" i="27"/>
  <c r="Y7" i="27"/>
  <c r="Z7" i="27" s="1"/>
  <c r="Y8" i="27"/>
  <c r="Z8" i="27" s="1"/>
  <c r="Y9" i="27"/>
  <c r="Z9" i="27" s="1"/>
  <c r="Y10" i="27"/>
  <c r="Z10" i="27" s="1"/>
  <c r="Y11" i="27"/>
  <c r="Z11" i="27" s="1"/>
  <c r="Y12" i="27"/>
  <c r="Z12" i="27" s="1"/>
  <c r="Y13" i="27"/>
  <c r="Z13" i="27" s="1"/>
  <c r="Y14" i="27"/>
  <c r="Z14" i="27" s="1"/>
  <c r="Y15" i="27"/>
  <c r="Z15" i="27" s="1"/>
  <c r="Y16" i="27"/>
  <c r="Z16" i="27" s="1"/>
  <c r="Y17" i="27"/>
  <c r="Z17" i="27" s="1"/>
  <c r="Y18" i="27"/>
  <c r="Z18" i="27" s="1"/>
  <c r="Y19" i="27"/>
  <c r="Z19" i="27" s="1"/>
  <c r="Y20" i="27"/>
  <c r="Z20" i="27" s="1"/>
  <c r="Y32" i="5"/>
  <c r="S31" i="5"/>
  <c r="Y31" i="5" s="1"/>
  <c r="Z31" i="5" s="1"/>
  <c r="X30" i="5"/>
  <c r="W30" i="5"/>
  <c r="V30" i="5"/>
  <c r="U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Y29" i="5"/>
  <c r="S29" i="5"/>
  <c r="T29" i="5" s="1"/>
  <c r="Y28" i="5"/>
  <c r="S28" i="5"/>
  <c r="T28" i="5" s="1"/>
  <c r="S27" i="5"/>
  <c r="Y27" i="5" s="1"/>
  <c r="T26" i="5"/>
  <c r="S26" i="5"/>
  <c r="Y26" i="5" s="1"/>
  <c r="S25" i="5"/>
  <c r="Y25" i="5" s="1"/>
  <c r="S24" i="5"/>
  <c r="Y24" i="5" s="1"/>
  <c r="S23" i="5"/>
  <c r="Y23" i="5" s="1"/>
  <c r="T22" i="5"/>
  <c r="S22" i="5"/>
  <c r="Y22" i="5" s="1"/>
  <c r="S21" i="5"/>
  <c r="Y21" i="5" s="1"/>
  <c r="S20" i="5"/>
  <c r="Y20" i="5" s="1"/>
  <c r="S19" i="5"/>
  <c r="Y19" i="5" s="1"/>
  <c r="T18" i="5"/>
  <c r="S18" i="5"/>
  <c r="Y18" i="5" s="1"/>
  <c r="S17" i="5"/>
  <c r="Y17" i="5" s="1"/>
  <c r="S16" i="5"/>
  <c r="Y16" i="5" s="1"/>
  <c r="S15" i="5"/>
  <c r="Y15" i="5" s="1"/>
  <c r="T14" i="5"/>
  <c r="S14" i="5"/>
  <c r="Y14" i="5" s="1"/>
  <c r="S13" i="5"/>
  <c r="Y13" i="5" s="1"/>
  <c r="S12" i="5"/>
  <c r="Y12" i="5" s="1"/>
  <c r="S11" i="5"/>
  <c r="Y11" i="5" s="1"/>
  <c r="T10" i="5"/>
  <c r="S10" i="5"/>
  <c r="Y10" i="5" s="1"/>
  <c r="S9" i="5"/>
  <c r="Y9" i="5" s="1"/>
  <c r="S8" i="5"/>
  <c r="Y8" i="5" s="1"/>
  <c r="S7" i="5"/>
  <c r="Y7" i="5" s="1"/>
  <c r="T6" i="5"/>
  <c r="S6" i="5"/>
  <c r="Y6" i="5" s="1"/>
  <c r="Z7" i="5" l="1"/>
  <c r="Z19" i="5"/>
  <c r="T7" i="5"/>
  <c r="T19" i="5"/>
  <c r="T23" i="5"/>
  <c r="Z8" i="5"/>
  <c r="Z12" i="5"/>
  <c r="Z16" i="5"/>
  <c r="Z20" i="5"/>
  <c r="Z24" i="5"/>
  <c r="T8" i="5"/>
  <c r="T12" i="5"/>
  <c r="T16" i="5"/>
  <c r="T20" i="5"/>
  <c r="T24" i="5"/>
  <c r="T30" i="5"/>
  <c r="Z11" i="5"/>
  <c r="Z23" i="5"/>
  <c r="T15" i="5"/>
  <c r="T27" i="5"/>
  <c r="Z13" i="5"/>
  <c r="Z17" i="5"/>
  <c r="Z21" i="5"/>
  <c r="Z25" i="5"/>
  <c r="Z28" i="5"/>
  <c r="T9" i="5"/>
  <c r="T13" i="5"/>
  <c r="T17" i="5"/>
  <c r="T21" i="5"/>
  <c r="T25" i="5"/>
  <c r="T31" i="5"/>
  <c r="Z29" i="5"/>
  <c r="Z15" i="5"/>
  <c r="Z27" i="5"/>
  <c r="T11" i="5"/>
  <c r="Z9" i="5"/>
  <c r="Z10" i="5"/>
  <c r="Z14" i="5"/>
  <c r="Z18" i="5"/>
  <c r="Z22" i="5"/>
  <c r="Z26" i="5"/>
  <c r="Y30" i="27"/>
  <c r="Z6" i="27"/>
  <c r="Z30" i="27" s="1"/>
  <c r="Y30" i="5"/>
  <c r="Z6" i="5"/>
  <c r="S30" i="5"/>
  <c r="Z30" i="5" l="1"/>
  <c r="S31" i="7"/>
  <c r="Y31" i="7" s="1"/>
  <c r="Z31" i="7" s="1"/>
  <c r="X30" i="7"/>
  <c r="W30" i="7"/>
  <c r="V30" i="7"/>
  <c r="U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9" i="7"/>
  <c r="S29" i="7"/>
  <c r="Y29" i="7" s="1"/>
  <c r="S28" i="7"/>
  <c r="Y28" i="7" s="1"/>
  <c r="Z28" i="7" s="1"/>
  <c r="S27" i="7"/>
  <c r="Y27" i="7" s="1"/>
  <c r="Z27" i="7" s="1"/>
  <c r="S26" i="7"/>
  <c r="Y26" i="7" s="1"/>
  <c r="Z26" i="7" s="1"/>
  <c r="T25" i="7"/>
  <c r="S25" i="7"/>
  <c r="Y25" i="7" s="1"/>
  <c r="S24" i="7"/>
  <c r="Y24" i="7" s="1"/>
  <c r="Z24" i="7" s="1"/>
  <c r="S23" i="7"/>
  <c r="Y23" i="7" s="1"/>
  <c r="Z23" i="7" s="1"/>
  <c r="S22" i="7"/>
  <c r="Y22" i="7" s="1"/>
  <c r="Z22" i="7" s="1"/>
  <c r="T21" i="7"/>
  <c r="S21" i="7"/>
  <c r="Y21" i="7" s="1"/>
  <c r="S20" i="7"/>
  <c r="Y20" i="7" s="1"/>
  <c r="Z20" i="7" s="1"/>
  <c r="S19" i="7"/>
  <c r="Y19" i="7" s="1"/>
  <c r="Z19" i="7" s="1"/>
  <c r="S18" i="7"/>
  <c r="Y18" i="7" s="1"/>
  <c r="Z18" i="7" s="1"/>
  <c r="T17" i="7"/>
  <c r="S17" i="7"/>
  <c r="Y17" i="7" s="1"/>
  <c r="Z17" i="7" s="1"/>
  <c r="S16" i="7"/>
  <c r="Y16" i="7" s="1"/>
  <c r="Z16" i="7" s="1"/>
  <c r="S15" i="7"/>
  <c r="Y15" i="7" s="1"/>
  <c r="Z15" i="7" s="1"/>
  <c r="S14" i="7"/>
  <c r="Y14" i="7" s="1"/>
  <c r="Z14" i="7" s="1"/>
  <c r="T13" i="7"/>
  <c r="S13" i="7"/>
  <c r="Y13" i="7" s="1"/>
  <c r="Z13" i="7" s="1"/>
  <c r="S12" i="7"/>
  <c r="Y12" i="7" s="1"/>
  <c r="Z12" i="7" s="1"/>
  <c r="S11" i="7"/>
  <c r="Y11" i="7" s="1"/>
  <c r="Z11" i="7" s="1"/>
  <c r="S10" i="7"/>
  <c r="Y10" i="7" s="1"/>
  <c r="Z10" i="7" s="1"/>
  <c r="T9" i="7"/>
  <c r="S9" i="7"/>
  <c r="Y9" i="7" s="1"/>
  <c r="Z9" i="7" s="1"/>
  <c r="S8" i="7"/>
  <c r="Y8" i="7" s="1"/>
  <c r="Z8" i="7" s="1"/>
  <c r="S7" i="7"/>
  <c r="Y7" i="7" s="1"/>
  <c r="Z7" i="7" s="1"/>
  <c r="S6" i="7"/>
  <c r="S30" i="7" s="1"/>
  <c r="Y32" i="34"/>
  <c r="T31" i="34"/>
  <c r="S31" i="34"/>
  <c r="Y31" i="34" s="1"/>
  <c r="Z31" i="34" s="1"/>
  <c r="X30" i="34"/>
  <c r="W30" i="34"/>
  <c r="V30" i="34"/>
  <c r="U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S29" i="34"/>
  <c r="Y29" i="34" s="1"/>
  <c r="S28" i="34"/>
  <c r="Y28" i="34" s="1"/>
  <c r="S27" i="34"/>
  <c r="Y27" i="34" s="1"/>
  <c r="S26" i="34"/>
  <c r="Y26" i="34" s="1"/>
  <c r="S25" i="34"/>
  <c r="Y25" i="34" s="1"/>
  <c r="T24" i="34"/>
  <c r="S24" i="34"/>
  <c r="Y24" i="34" s="1"/>
  <c r="S23" i="34"/>
  <c r="Y23" i="34" s="1"/>
  <c r="T22" i="34"/>
  <c r="S22" i="34"/>
  <c r="Y22" i="34" s="1"/>
  <c r="S21" i="34"/>
  <c r="Y21" i="34" s="1"/>
  <c r="S20" i="34"/>
  <c r="Y20" i="34" s="1"/>
  <c r="S19" i="34"/>
  <c r="Y19" i="34" s="1"/>
  <c r="T18" i="34"/>
  <c r="S18" i="34"/>
  <c r="Y18" i="34" s="1"/>
  <c r="S17" i="34"/>
  <c r="Y17" i="34" s="1"/>
  <c r="S16" i="34"/>
  <c r="Y16" i="34" s="1"/>
  <c r="S15" i="34"/>
  <c r="Y15" i="34" s="1"/>
  <c r="T14" i="34"/>
  <c r="S14" i="34"/>
  <c r="Y14" i="34" s="1"/>
  <c r="S13" i="34"/>
  <c r="Y13" i="34" s="1"/>
  <c r="S12" i="34"/>
  <c r="Y12" i="34" s="1"/>
  <c r="S11" i="34"/>
  <c r="Y11" i="34" s="1"/>
  <c r="T10" i="34"/>
  <c r="S10" i="34"/>
  <c r="Y10" i="34" s="1"/>
  <c r="S9" i="34"/>
  <c r="Y9" i="34" s="1"/>
  <c r="S8" i="34"/>
  <c r="Y8" i="34" s="1"/>
  <c r="S7" i="34"/>
  <c r="Y7" i="34" s="1"/>
  <c r="S6" i="34"/>
  <c r="Y6" i="34" s="1"/>
  <c r="Z15" i="34" l="1"/>
  <c r="Z7" i="34"/>
  <c r="T15" i="34"/>
  <c r="T10" i="7"/>
  <c r="T18" i="7"/>
  <c r="T26" i="7"/>
  <c r="Z12" i="34"/>
  <c r="Z16" i="34"/>
  <c r="Z21" i="34"/>
  <c r="T26" i="34"/>
  <c r="T8" i="34"/>
  <c r="T12" i="34"/>
  <c r="T16" i="34"/>
  <c r="Z22" i="34"/>
  <c r="Z27" i="34"/>
  <c r="T7" i="7"/>
  <c r="T11" i="7"/>
  <c r="T15" i="7"/>
  <c r="T19" i="7"/>
  <c r="T23" i="7"/>
  <c r="T27" i="7"/>
  <c r="Z19" i="34"/>
  <c r="Z11" i="34"/>
  <c r="Z25" i="34"/>
  <c r="T11" i="34"/>
  <c r="T20" i="34"/>
  <c r="T6" i="7"/>
  <c r="Z8" i="34"/>
  <c r="Z13" i="34"/>
  <c r="Z28" i="34"/>
  <c r="T9" i="34"/>
  <c r="T13" i="34"/>
  <c r="Z18" i="34"/>
  <c r="Z23" i="34"/>
  <c r="T28" i="34"/>
  <c r="T8" i="7"/>
  <c r="T12" i="7"/>
  <c r="T16" i="7"/>
  <c r="T20" i="7"/>
  <c r="T24" i="7"/>
  <c r="T28" i="7"/>
  <c r="T31" i="7"/>
  <c r="T6" i="34"/>
  <c r="Z20" i="34"/>
  <c r="Z26" i="34"/>
  <c r="T14" i="7"/>
  <c r="T22" i="7"/>
  <c r="Z9" i="34"/>
  <c r="Z17" i="34"/>
  <c r="Z10" i="34"/>
  <c r="Z14" i="34"/>
  <c r="Z24" i="34"/>
  <c r="Z29" i="34"/>
  <c r="Z21" i="7"/>
  <c r="Z25" i="7"/>
  <c r="Z29" i="7"/>
  <c r="T7" i="34"/>
  <c r="T19" i="34"/>
  <c r="T21" i="34"/>
  <c r="T23" i="34"/>
  <c r="T25" i="34"/>
  <c r="T27" i="34"/>
  <c r="T29" i="34"/>
  <c r="T17" i="34"/>
  <c r="Y6" i="7"/>
  <c r="Y30" i="34"/>
  <c r="Z6" i="34"/>
  <c r="S30" i="34"/>
  <c r="Y32" i="48"/>
  <c r="S31" i="48"/>
  <c r="Y31" i="48" s="1"/>
  <c r="Z31" i="48" s="1"/>
  <c r="X30" i="48"/>
  <c r="W30" i="48"/>
  <c r="V30" i="48"/>
  <c r="U30" i="48"/>
  <c r="R30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E30" i="48"/>
  <c r="D30" i="48"/>
  <c r="C30" i="48"/>
  <c r="S29" i="48"/>
  <c r="Y29" i="48" s="1"/>
  <c r="S28" i="48"/>
  <c r="Y28" i="48" s="1"/>
  <c r="S27" i="48"/>
  <c r="Y27" i="48" s="1"/>
  <c r="T26" i="48"/>
  <c r="S26" i="48"/>
  <c r="Y26" i="48" s="1"/>
  <c r="S25" i="48"/>
  <c r="Y25" i="48" s="1"/>
  <c r="S24" i="48"/>
  <c r="Y24" i="48" s="1"/>
  <c r="S23" i="48"/>
  <c r="Y23" i="48" s="1"/>
  <c r="S22" i="48"/>
  <c r="Y22" i="48" s="1"/>
  <c r="Z22" i="48" s="1"/>
  <c r="S21" i="48"/>
  <c r="Y21" i="48" s="1"/>
  <c r="S20" i="48"/>
  <c r="Y20" i="48" s="1"/>
  <c r="S19" i="48"/>
  <c r="Y19" i="48" s="1"/>
  <c r="S18" i="48"/>
  <c r="Y18" i="48" s="1"/>
  <c r="S17" i="48"/>
  <c r="Y17" i="48" s="1"/>
  <c r="S16" i="48"/>
  <c r="Y16" i="48" s="1"/>
  <c r="Z16" i="48" s="1"/>
  <c r="S15" i="48"/>
  <c r="Y15" i="48" s="1"/>
  <c r="S14" i="48"/>
  <c r="Y14" i="48" s="1"/>
  <c r="S13" i="48"/>
  <c r="Y13" i="48" s="1"/>
  <c r="S12" i="48"/>
  <c r="Y12" i="48" s="1"/>
  <c r="S11" i="48"/>
  <c r="Y11" i="48" s="1"/>
  <c r="T10" i="48"/>
  <c r="S10" i="48"/>
  <c r="Y10" i="48" s="1"/>
  <c r="S9" i="48"/>
  <c r="Y9" i="48" s="1"/>
  <c r="S8" i="48"/>
  <c r="Y8" i="48" s="1"/>
  <c r="S7" i="48"/>
  <c r="Y7" i="48" s="1"/>
  <c r="S6" i="48"/>
  <c r="Y6" i="48" s="1"/>
  <c r="T6" i="48" l="1"/>
  <c r="Z28" i="48"/>
  <c r="T31" i="48"/>
  <c r="T28" i="48"/>
  <c r="Z8" i="48"/>
  <c r="T18" i="48"/>
  <c r="Z24" i="48"/>
  <c r="T12" i="48"/>
  <c r="T8" i="48"/>
  <c r="Z30" i="34"/>
  <c r="T14" i="48"/>
  <c r="Z20" i="48"/>
  <c r="T30" i="34"/>
  <c r="T16" i="48"/>
  <c r="Z12" i="48"/>
  <c r="T22" i="48"/>
  <c r="Z18" i="48"/>
  <c r="Z14" i="48"/>
  <c r="T24" i="48"/>
  <c r="T30" i="7"/>
  <c r="Z10" i="48"/>
  <c r="T20" i="48"/>
  <c r="Z26" i="48"/>
  <c r="T7" i="48"/>
  <c r="T9" i="48"/>
  <c r="T11" i="48"/>
  <c r="T13" i="48"/>
  <c r="T15" i="48"/>
  <c r="T17" i="48"/>
  <c r="T19" i="48"/>
  <c r="T21" i="48"/>
  <c r="T23" i="48"/>
  <c r="T25" i="48"/>
  <c r="T27" i="48"/>
  <c r="T29" i="48"/>
  <c r="Y30" i="7"/>
  <c r="Z6" i="7"/>
  <c r="Z30" i="7" s="1"/>
  <c r="Y30" i="48"/>
  <c r="Z6" i="48"/>
  <c r="Z7" i="48"/>
  <c r="Z9" i="48"/>
  <c r="Z11" i="48"/>
  <c r="Z13" i="48"/>
  <c r="Z15" i="48"/>
  <c r="Z17" i="48"/>
  <c r="Z19" i="48"/>
  <c r="Z21" i="48"/>
  <c r="Z23" i="48"/>
  <c r="Z25" i="48"/>
  <c r="Z27" i="48"/>
  <c r="Z29" i="48"/>
  <c r="S30" i="48"/>
  <c r="T30" i="48" l="1"/>
  <c r="Z30" i="48"/>
  <c r="Y32" i="12" l="1"/>
  <c r="S31" i="12"/>
  <c r="X30" i="12"/>
  <c r="W30" i="12"/>
  <c r="V30" i="12"/>
  <c r="U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S29" i="12"/>
  <c r="Y29" i="12" s="1"/>
  <c r="S28" i="12"/>
  <c r="Y28" i="12" s="1"/>
  <c r="S27" i="12"/>
  <c r="Y27" i="12" s="1"/>
  <c r="S26" i="12"/>
  <c r="Y26" i="12" s="1"/>
  <c r="S25" i="12"/>
  <c r="Y25" i="12" s="1"/>
  <c r="S24" i="12"/>
  <c r="Y24" i="12" s="1"/>
  <c r="S23" i="12"/>
  <c r="Y23" i="12" s="1"/>
  <c r="S22" i="12"/>
  <c r="Y22" i="12" s="1"/>
  <c r="S21" i="12"/>
  <c r="Y21" i="12" s="1"/>
  <c r="S20" i="12"/>
  <c r="Y20" i="12" s="1"/>
  <c r="S19" i="12"/>
  <c r="Y19" i="12" s="1"/>
  <c r="S18" i="12"/>
  <c r="Y18" i="12" s="1"/>
  <c r="S17" i="12"/>
  <c r="Y17" i="12" s="1"/>
  <c r="S16" i="12"/>
  <c r="Y16" i="12" s="1"/>
  <c r="S15" i="12"/>
  <c r="Y15" i="12" s="1"/>
  <c r="S14" i="12"/>
  <c r="Y14" i="12" s="1"/>
  <c r="S13" i="12"/>
  <c r="Y13" i="12" s="1"/>
  <c r="S12" i="12"/>
  <c r="Y12" i="12" s="1"/>
  <c r="S11" i="12"/>
  <c r="Y11" i="12" s="1"/>
  <c r="S10" i="12"/>
  <c r="Y10" i="12" s="1"/>
  <c r="S9" i="12"/>
  <c r="Y9" i="12" s="1"/>
  <c r="S8" i="12"/>
  <c r="Y8" i="12" s="1"/>
  <c r="S7" i="12"/>
  <c r="Y7" i="12" s="1"/>
  <c r="S6" i="12"/>
  <c r="Y6" i="12" s="1"/>
  <c r="Y32" i="13"/>
  <c r="T31" i="13"/>
  <c r="S31" i="13"/>
  <c r="X30" i="13"/>
  <c r="W30" i="13"/>
  <c r="V30" i="13"/>
  <c r="U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S29" i="13"/>
  <c r="Y29" i="13" s="1"/>
  <c r="T28" i="13"/>
  <c r="S28" i="13"/>
  <c r="Y28" i="13" s="1"/>
  <c r="S27" i="13"/>
  <c r="Y27" i="13" s="1"/>
  <c r="S26" i="13"/>
  <c r="Y26" i="13" s="1"/>
  <c r="S25" i="13"/>
  <c r="Y25" i="13" s="1"/>
  <c r="T24" i="13"/>
  <c r="S24" i="13"/>
  <c r="Y24" i="13" s="1"/>
  <c r="S23" i="13"/>
  <c r="Y23" i="13" s="1"/>
  <c r="S22" i="13"/>
  <c r="Y22" i="13" s="1"/>
  <c r="S21" i="13"/>
  <c r="Y21" i="13" s="1"/>
  <c r="T20" i="13"/>
  <c r="S20" i="13"/>
  <c r="Y20" i="13" s="1"/>
  <c r="S19" i="13"/>
  <c r="Y19" i="13" s="1"/>
  <c r="S18" i="13"/>
  <c r="Y18" i="13" s="1"/>
  <c r="S17" i="13"/>
  <c r="Y17" i="13" s="1"/>
  <c r="T16" i="13"/>
  <c r="S16" i="13"/>
  <c r="Y16" i="13" s="1"/>
  <c r="S15" i="13"/>
  <c r="Y15" i="13" s="1"/>
  <c r="S14" i="13"/>
  <c r="Y14" i="13" s="1"/>
  <c r="S13" i="13"/>
  <c r="Y13" i="13" s="1"/>
  <c r="T12" i="13"/>
  <c r="S12" i="13"/>
  <c r="Y12" i="13" s="1"/>
  <c r="S11" i="13"/>
  <c r="Y11" i="13" s="1"/>
  <c r="S10" i="13"/>
  <c r="Y10" i="13" s="1"/>
  <c r="S9" i="13"/>
  <c r="Y9" i="13" s="1"/>
  <c r="T8" i="13"/>
  <c r="S8" i="13"/>
  <c r="Y8" i="13" s="1"/>
  <c r="S7" i="13"/>
  <c r="Y7" i="13" s="1"/>
  <c r="S6" i="13"/>
  <c r="Y6" i="13" s="1"/>
  <c r="T9" i="13" l="1"/>
  <c r="Z18" i="13"/>
  <c r="Z22" i="13"/>
  <c r="T6" i="13"/>
  <c r="T10" i="13"/>
  <c r="T14" i="13"/>
  <c r="T18" i="13"/>
  <c r="T22" i="13"/>
  <c r="T26" i="13"/>
  <c r="Z16" i="12"/>
  <c r="T17" i="13"/>
  <c r="T29" i="13"/>
  <c r="Z14" i="12"/>
  <c r="Z11" i="13"/>
  <c r="T7" i="13"/>
  <c r="T11" i="13"/>
  <c r="T15" i="13"/>
  <c r="T19" i="13"/>
  <c r="T23" i="13"/>
  <c r="T27" i="13"/>
  <c r="Y31" i="12"/>
  <c r="S15" i="63"/>
  <c r="Z12" i="12"/>
  <c r="Z13" i="13"/>
  <c r="T13" i="13"/>
  <c r="T21" i="13"/>
  <c r="T25" i="13"/>
  <c r="Z22" i="12"/>
  <c r="Z15" i="13"/>
  <c r="Z8" i="13"/>
  <c r="Y31" i="13"/>
  <c r="Z9" i="13" s="1"/>
  <c r="S16" i="63"/>
  <c r="Z8" i="12"/>
  <c r="T10" i="12"/>
  <c r="T12" i="12"/>
  <c r="T14" i="12"/>
  <c r="T16" i="12"/>
  <c r="T18" i="12"/>
  <c r="T20" i="12"/>
  <c r="T22" i="12"/>
  <c r="T24" i="12"/>
  <c r="T26" i="12"/>
  <c r="T28" i="12"/>
  <c r="T31" i="12"/>
  <c r="T6" i="12"/>
  <c r="T9" i="12"/>
  <c r="T11" i="12"/>
  <c r="T13" i="12"/>
  <c r="T15" i="12"/>
  <c r="T17" i="12"/>
  <c r="T19" i="12"/>
  <c r="T21" i="12"/>
  <c r="T23" i="12"/>
  <c r="T25" i="12"/>
  <c r="T27" i="12"/>
  <c r="T29" i="12"/>
  <c r="T8" i="12"/>
  <c r="T7" i="12"/>
  <c r="Y30" i="12"/>
  <c r="Z6" i="12"/>
  <c r="Z9" i="12"/>
  <c r="Z11" i="12"/>
  <c r="Z13" i="12"/>
  <c r="Z15" i="12"/>
  <c r="Z21" i="12"/>
  <c r="Z25" i="12"/>
  <c r="Z27" i="12"/>
  <c r="Z29" i="12"/>
  <c r="S30" i="12"/>
  <c r="Y30" i="13"/>
  <c r="S30" i="13"/>
  <c r="Z7" i="13" l="1"/>
  <c r="Z28" i="13"/>
  <c r="Z31" i="12"/>
  <c r="Y15" i="63"/>
  <c r="Z10" i="13"/>
  <c r="Z23" i="12"/>
  <c r="Z7" i="12"/>
  <c r="Z30" i="12" s="1"/>
  <c r="Z24" i="13"/>
  <c r="Z26" i="12"/>
  <c r="Z29" i="13"/>
  <c r="Z27" i="13"/>
  <c r="Z6" i="13"/>
  <c r="Z16" i="13"/>
  <c r="Z10" i="12"/>
  <c r="Z23" i="13"/>
  <c r="Z20" i="12"/>
  <c r="T30" i="13"/>
  <c r="Z31" i="13"/>
  <c r="Y16" i="63"/>
  <c r="Z14" i="13"/>
  <c r="Z20" i="13"/>
  <c r="Z18" i="12"/>
  <c r="Z17" i="13"/>
  <c r="Z21" i="13"/>
  <c r="Z19" i="12"/>
  <c r="Z17" i="12"/>
  <c r="Z12" i="13"/>
  <c r="Z25" i="13"/>
  <c r="Z19" i="13"/>
  <c r="Z24" i="12"/>
  <c r="Z26" i="13"/>
  <c r="Z28" i="12"/>
  <c r="T30" i="12"/>
  <c r="Y32" i="14"/>
  <c r="S31" i="14"/>
  <c r="T23" i="14" s="1"/>
  <c r="X30" i="14"/>
  <c r="W30" i="14"/>
  <c r="V30" i="14"/>
  <c r="U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S29" i="14"/>
  <c r="Y29" i="14" s="1"/>
  <c r="S28" i="14"/>
  <c r="Y28" i="14" s="1"/>
  <c r="S27" i="14"/>
  <c r="Y27" i="14" s="1"/>
  <c r="S26" i="14"/>
  <c r="Y26" i="14" s="1"/>
  <c r="S25" i="14"/>
  <c r="Y25" i="14" s="1"/>
  <c r="S24" i="14"/>
  <c r="Y24" i="14" s="1"/>
  <c r="S23" i="14"/>
  <c r="Y23" i="14" s="1"/>
  <c r="S22" i="14"/>
  <c r="Y22" i="14" s="1"/>
  <c r="S21" i="14"/>
  <c r="Y21" i="14" s="1"/>
  <c r="S20" i="14"/>
  <c r="Y20" i="14" s="1"/>
  <c r="S19" i="14"/>
  <c r="Y19" i="14" s="1"/>
  <c r="S18" i="14"/>
  <c r="Y18" i="14" s="1"/>
  <c r="S17" i="14"/>
  <c r="Y17" i="14" s="1"/>
  <c r="S16" i="14"/>
  <c r="Y16" i="14" s="1"/>
  <c r="S15" i="14"/>
  <c r="Y15" i="14" s="1"/>
  <c r="S14" i="14"/>
  <c r="Y14" i="14" s="1"/>
  <c r="S13" i="14"/>
  <c r="Y13" i="14" s="1"/>
  <c r="S12" i="14"/>
  <c r="Y12" i="14" s="1"/>
  <c r="S11" i="14"/>
  <c r="Y11" i="14" s="1"/>
  <c r="S10" i="14"/>
  <c r="Y10" i="14" s="1"/>
  <c r="S9" i="14"/>
  <c r="Y9" i="14" s="1"/>
  <c r="S8" i="14"/>
  <c r="Y8" i="14" s="1"/>
  <c r="S7" i="14"/>
  <c r="Y7" i="14" s="1"/>
  <c r="S6" i="14"/>
  <c r="Y6" i="14" s="1"/>
  <c r="Y32" i="21"/>
  <c r="V31" i="21"/>
  <c r="V23" i="63" s="1"/>
  <c r="V26" i="63" s="1"/>
  <c r="U31" i="21"/>
  <c r="U23" i="63" s="1"/>
  <c r="U26" i="63" s="1"/>
  <c r="G31" i="21"/>
  <c r="G23" i="63" s="1"/>
  <c r="G26" i="63" s="1"/>
  <c r="E31" i="21"/>
  <c r="C31" i="21"/>
  <c r="X30" i="21"/>
  <c r="W30" i="21"/>
  <c r="V30" i="21"/>
  <c r="U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S31" i="24"/>
  <c r="Y31" i="24" s="1"/>
  <c r="Z31" i="24" s="1"/>
  <c r="X30" i="24"/>
  <c r="W30" i="24"/>
  <c r="V30" i="24"/>
  <c r="U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T29" i="24"/>
  <c r="S29" i="24"/>
  <c r="Y29" i="24" s="1"/>
  <c r="S28" i="24"/>
  <c r="Y28" i="24" s="1"/>
  <c r="Z28" i="24" s="1"/>
  <c r="S27" i="24"/>
  <c r="Y27" i="24" s="1"/>
  <c r="S26" i="24"/>
  <c r="Y26" i="24" s="1"/>
  <c r="Z26" i="24" s="1"/>
  <c r="T25" i="24"/>
  <c r="S25" i="24"/>
  <c r="Y25" i="24" s="1"/>
  <c r="S24" i="24"/>
  <c r="Y24" i="24" s="1"/>
  <c r="Z24" i="24" s="1"/>
  <c r="S23" i="24"/>
  <c r="Y23" i="24" s="1"/>
  <c r="S22" i="24"/>
  <c r="Y22" i="24" s="1"/>
  <c r="Z22" i="24" s="1"/>
  <c r="T21" i="24"/>
  <c r="S21" i="24"/>
  <c r="Y21" i="24" s="1"/>
  <c r="S20" i="24"/>
  <c r="Y20" i="24" s="1"/>
  <c r="Z20" i="24" s="1"/>
  <c r="S19" i="24"/>
  <c r="Y19" i="24" s="1"/>
  <c r="S18" i="24"/>
  <c r="Y18" i="24" s="1"/>
  <c r="Z18" i="24" s="1"/>
  <c r="T17" i="24"/>
  <c r="S17" i="24"/>
  <c r="Y17" i="24" s="1"/>
  <c r="S16" i="24"/>
  <c r="Y16" i="24" s="1"/>
  <c r="Z16" i="24" s="1"/>
  <c r="S15" i="24"/>
  <c r="Y15" i="24" s="1"/>
  <c r="S14" i="24"/>
  <c r="Y14" i="24" s="1"/>
  <c r="Z14" i="24" s="1"/>
  <c r="T13" i="24"/>
  <c r="S13" i="24"/>
  <c r="Y13" i="24" s="1"/>
  <c r="S12" i="24"/>
  <c r="Y12" i="24" s="1"/>
  <c r="Z12" i="24" s="1"/>
  <c r="S11" i="24"/>
  <c r="Y11" i="24" s="1"/>
  <c r="S10" i="24"/>
  <c r="Y10" i="24" s="1"/>
  <c r="Z10" i="24" s="1"/>
  <c r="T9" i="24"/>
  <c r="S9" i="24"/>
  <c r="Y9" i="24" s="1"/>
  <c r="S8" i="24"/>
  <c r="Y8" i="24" s="1"/>
  <c r="Z8" i="24" s="1"/>
  <c r="S7" i="24"/>
  <c r="Y7" i="24" s="1"/>
  <c r="S6" i="24"/>
  <c r="Y6" i="24" s="1"/>
  <c r="C48" i="56"/>
  <c r="Y32" i="56"/>
  <c r="S31" i="56"/>
  <c r="T31" i="56" s="1"/>
  <c r="X30" i="56"/>
  <c r="W30" i="56"/>
  <c r="V30" i="56"/>
  <c r="U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S29" i="56"/>
  <c r="T29" i="56" s="1"/>
  <c r="S28" i="56"/>
  <c r="T28" i="56" s="1"/>
  <c r="S27" i="56"/>
  <c r="T27" i="56" s="1"/>
  <c r="S26" i="56"/>
  <c r="T26" i="56" s="1"/>
  <c r="S25" i="56"/>
  <c r="T25" i="56" s="1"/>
  <c r="S24" i="56"/>
  <c r="T24" i="56" s="1"/>
  <c r="S23" i="56"/>
  <c r="T23" i="56" s="1"/>
  <c r="S22" i="56"/>
  <c r="T22" i="56" s="1"/>
  <c r="S21" i="56"/>
  <c r="T21" i="56" s="1"/>
  <c r="S20" i="56"/>
  <c r="T20" i="56" s="1"/>
  <c r="S19" i="56"/>
  <c r="T19" i="56" s="1"/>
  <c r="S18" i="56"/>
  <c r="T18" i="56" s="1"/>
  <c r="S17" i="56"/>
  <c r="T17" i="56" s="1"/>
  <c r="S16" i="56"/>
  <c r="T16" i="56" s="1"/>
  <c r="S15" i="56"/>
  <c r="T15" i="56" s="1"/>
  <c r="S14" i="56"/>
  <c r="T14" i="56" s="1"/>
  <c r="S13" i="56"/>
  <c r="T13" i="56" s="1"/>
  <c r="S12" i="56"/>
  <c r="T12" i="56" s="1"/>
  <c r="S11" i="56"/>
  <c r="T11" i="56" s="1"/>
  <c r="S10" i="56"/>
  <c r="T10" i="56" s="1"/>
  <c r="S9" i="56"/>
  <c r="T9" i="56" s="1"/>
  <c r="S8" i="56"/>
  <c r="T8" i="56" s="1"/>
  <c r="S7" i="56"/>
  <c r="T7" i="56" s="1"/>
  <c r="S6" i="56"/>
  <c r="T6" i="56" s="1"/>
  <c r="T13" i="14" l="1"/>
  <c r="T25" i="14"/>
  <c r="T18" i="24"/>
  <c r="T6" i="14"/>
  <c r="T10" i="14"/>
  <c r="T14" i="14"/>
  <c r="T18" i="14"/>
  <c r="T22" i="14"/>
  <c r="T26" i="14"/>
  <c r="T31" i="14"/>
  <c r="T7" i="24"/>
  <c r="T11" i="24"/>
  <c r="T15" i="24"/>
  <c r="T19" i="24"/>
  <c r="T23" i="24"/>
  <c r="T27" i="24"/>
  <c r="S31" i="21"/>
  <c r="S23" i="63" s="1"/>
  <c r="S26" i="63" s="1"/>
  <c r="C23" i="63"/>
  <c r="C26" i="63" s="1"/>
  <c r="T29" i="14"/>
  <c r="Y31" i="14"/>
  <c r="Z31" i="14" s="1"/>
  <c r="Z30" i="13"/>
  <c r="T9" i="14"/>
  <c r="T17" i="14"/>
  <c r="T28" i="14"/>
  <c r="T10" i="24"/>
  <c r="T26" i="24"/>
  <c r="Z18" i="14"/>
  <c r="T8" i="24"/>
  <c r="T12" i="24"/>
  <c r="T16" i="24"/>
  <c r="T20" i="24"/>
  <c r="T24" i="24"/>
  <c r="T28" i="24"/>
  <c r="T31" i="24"/>
  <c r="Z8" i="14"/>
  <c r="T27" i="14"/>
  <c r="Z21" i="14"/>
  <c r="T21" i="14"/>
  <c r="T6" i="24"/>
  <c r="T14" i="24"/>
  <c r="T22" i="24"/>
  <c r="S29" i="21"/>
  <c r="T29" i="21" s="1"/>
  <c r="E23" i="63"/>
  <c r="E26" i="63" s="1"/>
  <c r="T7" i="14"/>
  <c r="T11" i="14"/>
  <c r="T15" i="14"/>
  <c r="T19" i="14"/>
  <c r="T8" i="14"/>
  <c r="T12" i="14"/>
  <c r="T16" i="14"/>
  <c r="T20" i="14"/>
  <c r="T24" i="14"/>
  <c r="Y30" i="14"/>
  <c r="S30" i="14"/>
  <c r="T31" i="21"/>
  <c r="S7" i="21"/>
  <c r="S8" i="21"/>
  <c r="S10" i="21"/>
  <c r="S11" i="21"/>
  <c r="S13" i="21"/>
  <c r="S14" i="21"/>
  <c r="S16" i="21"/>
  <c r="S17" i="21"/>
  <c r="S19" i="21"/>
  <c r="S21" i="21"/>
  <c r="S22" i="21"/>
  <c r="S24" i="21"/>
  <c r="S25" i="21"/>
  <c r="S27" i="21"/>
  <c r="S28" i="21"/>
  <c r="S6" i="21"/>
  <c r="S9" i="21"/>
  <c r="S12" i="21"/>
  <c r="S15" i="21"/>
  <c r="S18" i="21"/>
  <c r="S20" i="21"/>
  <c r="S23" i="21"/>
  <c r="S26" i="21"/>
  <c r="Y30" i="24"/>
  <c r="Z30" i="24" s="1"/>
  <c r="Z6" i="24"/>
  <c r="Z7" i="24"/>
  <c r="Z9" i="24"/>
  <c r="Z11" i="24"/>
  <c r="Z13" i="24"/>
  <c r="Z15" i="24"/>
  <c r="Z17" i="24"/>
  <c r="Z19" i="24"/>
  <c r="Z21" i="24"/>
  <c r="Z23" i="24"/>
  <c r="Z25" i="24"/>
  <c r="Z27" i="24"/>
  <c r="Z29" i="24"/>
  <c r="S30" i="24"/>
  <c r="T30" i="56"/>
  <c r="S30" i="56"/>
  <c r="Y7" i="56"/>
  <c r="Y9" i="56"/>
  <c r="Y11" i="56"/>
  <c r="Y13" i="56"/>
  <c r="Y15" i="56"/>
  <c r="Y17" i="56"/>
  <c r="Y19" i="56"/>
  <c r="Y20" i="56"/>
  <c r="Y21" i="56"/>
  <c r="Y22" i="56"/>
  <c r="Y23" i="56"/>
  <c r="Y24" i="56"/>
  <c r="Y25" i="56"/>
  <c r="Y26" i="56"/>
  <c r="Y27" i="56"/>
  <c r="Z27" i="56" s="1"/>
  <c r="Y28" i="56"/>
  <c r="Y29" i="56"/>
  <c r="Y31" i="56"/>
  <c r="Z31" i="56" s="1"/>
  <c r="Y6" i="56"/>
  <c r="Y8" i="56"/>
  <c r="Y10" i="56"/>
  <c r="Y12" i="56"/>
  <c r="Z12" i="56" s="1"/>
  <c r="Y14" i="56"/>
  <c r="Z14" i="56" s="1"/>
  <c r="Y16" i="56"/>
  <c r="Y18" i="56"/>
  <c r="Y31" i="21" l="1"/>
  <c r="Z9" i="14"/>
  <c r="Y29" i="21"/>
  <c r="Z10" i="14"/>
  <c r="Z24" i="14"/>
  <c r="Z19" i="14"/>
  <c r="Z28" i="14"/>
  <c r="Z20" i="14"/>
  <c r="Z15" i="14"/>
  <c r="Z29" i="14"/>
  <c r="Z23" i="14"/>
  <c r="Z6" i="14"/>
  <c r="Z16" i="14"/>
  <c r="Z25" i="14"/>
  <c r="Z11" i="14"/>
  <c r="T30" i="14"/>
  <c r="Z27" i="14"/>
  <c r="Z22" i="14"/>
  <c r="Z17" i="14"/>
  <c r="T30" i="24"/>
  <c r="Z12" i="14"/>
  <c r="Z13" i="14"/>
  <c r="Z7" i="14"/>
  <c r="Z14" i="14"/>
  <c r="Z26" i="14"/>
  <c r="Y15" i="21"/>
  <c r="Z15" i="21" s="1"/>
  <c r="T15" i="21"/>
  <c r="Y20" i="21"/>
  <c r="Z20" i="21" s="1"/>
  <c r="T20" i="21"/>
  <c r="Y9" i="21"/>
  <c r="Z9" i="21" s="1"/>
  <c r="T9" i="21"/>
  <c r="Y25" i="21"/>
  <c r="Z25" i="21" s="1"/>
  <c r="T25" i="21"/>
  <c r="Y19" i="21"/>
  <c r="Z19" i="21" s="1"/>
  <c r="T19" i="21"/>
  <c r="Y13" i="21"/>
  <c r="Z13" i="21" s="1"/>
  <c r="T13" i="21"/>
  <c r="T7" i="21"/>
  <c r="Y7" i="21"/>
  <c r="Z7" i="21" s="1"/>
  <c r="Y23" i="21"/>
  <c r="Z23" i="21" s="1"/>
  <c r="T23" i="21"/>
  <c r="Y12" i="21"/>
  <c r="Z12" i="21" s="1"/>
  <c r="T12" i="21"/>
  <c r="T27" i="21"/>
  <c r="Y27" i="21"/>
  <c r="Z27" i="21" s="1"/>
  <c r="T21" i="21"/>
  <c r="Y21" i="21"/>
  <c r="Z21" i="21" s="1"/>
  <c r="T14" i="21"/>
  <c r="Y14" i="21"/>
  <c r="Z14" i="21" s="1"/>
  <c r="Y8" i="21"/>
  <c r="Z8" i="21" s="1"/>
  <c r="T8" i="21"/>
  <c r="Z29" i="21"/>
  <c r="Y26" i="21"/>
  <c r="Z26" i="21" s="1"/>
  <c r="T26" i="21"/>
  <c r="Y28" i="21"/>
  <c r="Z28" i="21" s="1"/>
  <c r="T28" i="21"/>
  <c r="Y22" i="21"/>
  <c r="Z22" i="21" s="1"/>
  <c r="T22" i="21"/>
  <c r="Y16" i="21"/>
  <c r="Z16" i="21" s="1"/>
  <c r="T16" i="21"/>
  <c r="T10" i="21"/>
  <c r="Y10" i="21"/>
  <c r="Z10" i="21" s="1"/>
  <c r="T18" i="21"/>
  <c r="Y18" i="21"/>
  <c r="Z18" i="21" s="1"/>
  <c r="S30" i="21"/>
  <c r="Y6" i="21"/>
  <c r="T6" i="21"/>
  <c r="T24" i="21"/>
  <c r="Y24" i="21"/>
  <c r="Z24" i="21" s="1"/>
  <c r="Y17" i="21"/>
  <c r="Z17" i="21" s="1"/>
  <c r="T17" i="21"/>
  <c r="Y11" i="21"/>
  <c r="Z11" i="21" s="1"/>
  <c r="T11" i="21"/>
  <c r="Z19" i="56"/>
  <c r="Z16" i="56"/>
  <c r="Z8" i="56"/>
  <c r="Z28" i="56"/>
  <c r="Z24" i="56"/>
  <c r="Z20" i="56"/>
  <c r="Z13" i="56"/>
  <c r="Y30" i="56"/>
  <c r="Z6" i="56"/>
  <c r="L47" i="56"/>
  <c r="Z7" i="56"/>
  <c r="Z23" i="56"/>
  <c r="Z11" i="56"/>
  <c r="Z18" i="56"/>
  <c r="Z10" i="56"/>
  <c r="Z29" i="56"/>
  <c r="Z25" i="56"/>
  <c r="Z21" i="56"/>
  <c r="Z15" i="56"/>
  <c r="J47" i="56"/>
  <c r="Z26" i="56"/>
  <c r="Z22" i="56"/>
  <c r="Z17" i="56"/>
  <c r="Z9" i="56"/>
  <c r="Y32" i="10"/>
  <c r="S31" i="10"/>
  <c r="T8" i="10" s="1"/>
  <c r="X30" i="10"/>
  <c r="W30" i="10"/>
  <c r="V30" i="10"/>
  <c r="U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S29" i="10"/>
  <c r="Y29" i="10" s="1"/>
  <c r="S28" i="10"/>
  <c r="Y28" i="10" s="1"/>
  <c r="S27" i="10"/>
  <c r="T27" i="10" s="1"/>
  <c r="Y26" i="10"/>
  <c r="S26" i="10"/>
  <c r="T26" i="10" s="1"/>
  <c r="S25" i="10"/>
  <c r="T25" i="10" s="1"/>
  <c r="S24" i="10"/>
  <c r="Y24" i="10" s="1"/>
  <c r="S23" i="10"/>
  <c r="T23" i="10" s="1"/>
  <c r="S22" i="10"/>
  <c r="Y22" i="10" s="1"/>
  <c r="S21" i="10"/>
  <c r="T21" i="10" s="1"/>
  <c r="S20" i="10"/>
  <c r="Y20" i="10" s="1"/>
  <c r="S19" i="10"/>
  <c r="S18" i="10"/>
  <c r="Y18" i="10" s="1"/>
  <c r="S17" i="10"/>
  <c r="Y17" i="10" s="1"/>
  <c r="T16" i="10"/>
  <c r="S16" i="10"/>
  <c r="Y16" i="10" s="1"/>
  <c r="S15" i="10"/>
  <c r="S14" i="10"/>
  <c r="T14" i="10" s="1"/>
  <c r="S13" i="10"/>
  <c r="Y13" i="10" s="1"/>
  <c r="S12" i="10"/>
  <c r="Y12" i="10" s="1"/>
  <c r="S11" i="10"/>
  <c r="S10" i="10"/>
  <c r="T10" i="10" s="1"/>
  <c r="Y9" i="10"/>
  <c r="T9" i="10"/>
  <c r="S9" i="10"/>
  <c r="S8" i="10"/>
  <c r="Y8" i="10" s="1"/>
  <c r="S7" i="10"/>
  <c r="S6" i="10"/>
  <c r="Y6" i="10" s="1"/>
  <c r="Z18" i="10" l="1"/>
  <c r="Z20" i="10"/>
  <c r="Z9" i="10"/>
  <c r="T13" i="10"/>
  <c r="T6" i="10"/>
  <c r="T31" i="10"/>
  <c r="T11" i="10"/>
  <c r="Y14" i="10"/>
  <c r="Z14" i="10" s="1"/>
  <c r="T18" i="10"/>
  <c r="Y25" i="10"/>
  <c r="Z25" i="10" s="1"/>
  <c r="T29" i="10"/>
  <c r="Y31" i="10"/>
  <c r="Z31" i="10" s="1"/>
  <c r="Z26" i="10"/>
  <c r="T20" i="10"/>
  <c r="T17" i="10"/>
  <c r="T24" i="10"/>
  <c r="T7" i="10"/>
  <c r="T30" i="10" s="1"/>
  <c r="Y10" i="10"/>
  <c r="Z10" i="10" s="1"/>
  <c r="Y21" i="10"/>
  <c r="Z12" i="10"/>
  <c r="T15" i="10"/>
  <c r="T22" i="10"/>
  <c r="Z28" i="10"/>
  <c r="T28" i="10"/>
  <c r="Z30" i="14"/>
  <c r="T12" i="10"/>
  <c r="Z16" i="10"/>
  <c r="T19" i="10"/>
  <c r="Z31" i="21"/>
  <c r="Y23" i="63"/>
  <c r="Y26" i="63" s="1"/>
  <c r="Y11" i="10"/>
  <c r="Z11" i="10" s="1"/>
  <c r="Y15" i="10"/>
  <c r="Z15" i="10" s="1"/>
  <c r="Y19" i="10"/>
  <c r="Y23" i="10"/>
  <c r="Z23" i="10" s="1"/>
  <c r="Y27" i="10"/>
  <c r="Z27" i="10" s="1"/>
  <c r="Y7" i="10"/>
  <c r="S30" i="10"/>
  <c r="Z6" i="21"/>
  <c r="Z30" i="21" s="1"/>
  <c r="Y30" i="21"/>
  <c r="T30" i="21"/>
  <c r="Z30" i="56"/>
  <c r="Z13" i="10" l="1"/>
  <c r="Z24" i="10"/>
  <c r="Z6" i="10"/>
  <c r="Z30" i="10" s="1"/>
  <c r="Z7" i="10"/>
  <c r="Z8" i="10"/>
  <c r="Z22" i="10"/>
  <c r="Y30" i="10"/>
  <c r="Z17" i="10"/>
  <c r="Z19" i="10"/>
  <c r="Z21" i="10"/>
  <c r="Z29" i="10"/>
  <c r="X67" i="30"/>
  <c r="Y32" i="30"/>
  <c r="S31" i="30"/>
  <c r="X30" i="30"/>
  <c r="W30" i="30"/>
  <c r="V30" i="30"/>
  <c r="U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S29" i="30"/>
  <c r="Y29" i="30" s="1"/>
  <c r="S28" i="30"/>
  <c r="Y28" i="30" s="1"/>
  <c r="S27" i="30"/>
  <c r="Y27" i="30" s="1"/>
  <c r="S26" i="30"/>
  <c r="Y26" i="30" s="1"/>
  <c r="S25" i="30"/>
  <c r="Y25" i="30" s="1"/>
  <c r="S24" i="30"/>
  <c r="Y24" i="30" s="1"/>
  <c r="S23" i="30"/>
  <c r="Y23" i="30" s="1"/>
  <c r="S22" i="30"/>
  <c r="Y22" i="30" s="1"/>
  <c r="S21" i="30"/>
  <c r="Y21" i="30" s="1"/>
  <c r="S20" i="30"/>
  <c r="Y20" i="30" s="1"/>
  <c r="S19" i="30"/>
  <c r="Y19" i="30" s="1"/>
  <c r="S18" i="30"/>
  <c r="Y18" i="30" s="1"/>
  <c r="S17" i="30"/>
  <c r="Y17" i="30" s="1"/>
  <c r="S16" i="30"/>
  <c r="Y16" i="30" s="1"/>
  <c r="S15" i="30"/>
  <c r="Y15" i="30" s="1"/>
  <c r="S14" i="30"/>
  <c r="Y14" i="30" s="1"/>
  <c r="S13" i="30"/>
  <c r="Y13" i="30" s="1"/>
  <c r="S12" i="30"/>
  <c r="Y12" i="30" s="1"/>
  <c r="S11" i="30"/>
  <c r="Y11" i="30" s="1"/>
  <c r="S10" i="30"/>
  <c r="Y10" i="30" s="1"/>
  <c r="S9" i="30"/>
  <c r="Y9" i="30" s="1"/>
  <c r="S8" i="30"/>
  <c r="Y8" i="30" s="1"/>
  <c r="S7" i="30"/>
  <c r="Y7" i="30" s="1"/>
  <c r="S6" i="30"/>
  <c r="Y31" i="30" l="1"/>
  <c r="Z18" i="30" s="1"/>
  <c r="S34" i="63"/>
  <c r="Z26" i="30"/>
  <c r="T6" i="30"/>
  <c r="Z22" i="30"/>
  <c r="Z8" i="30"/>
  <c r="Z12" i="30"/>
  <c r="Z20" i="30"/>
  <c r="Z24" i="30"/>
  <c r="Z28" i="30"/>
  <c r="T22" i="30"/>
  <c r="T14" i="30"/>
  <c r="T18" i="30"/>
  <c r="T10" i="30"/>
  <c r="T26" i="30"/>
  <c r="T12" i="30"/>
  <c r="T20" i="30"/>
  <c r="T28" i="30"/>
  <c r="T31" i="30"/>
  <c r="T8" i="30"/>
  <c r="T16" i="30"/>
  <c r="T24" i="30"/>
  <c r="S30" i="30"/>
  <c r="T7" i="30"/>
  <c r="T9" i="30"/>
  <c r="T11" i="30"/>
  <c r="T13" i="30"/>
  <c r="T15" i="30"/>
  <c r="T17" i="30"/>
  <c r="T19" i="30"/>
  <c r="T21" i="30"/>
  <c r="T23" i="30"/>
  <c r="T25" i="30"/>
  <c r="T27" i="30"/>
  <c r="T29" i="30"/>
  <c r="Z9" i="30"/>
  <c r="Z11" i="30"/>
  <c r="Z15" i="30"/>
  <c r="Z17" i="30"/>
  <c r="Z19" i="30"/>
  <c r="Z25" i="30"/>
  <c r="Z27" i="30"/>
  <c r="Y6" i="30"/>
  <c r="S31" i="8"/>
  <c r="Y31" i="8" s="1"/>
  <c r="Z31" i="8" s="1"/>
  <c r="X30" i="8"/>
  <c r="W30" i="8"/>
  <c r="V30" i="8"/>
  <c r="U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S29" i="8"/>
  <c r="S28" i="8"/>
  <c r="S27" i="8"/>
  <c r="S26" i="8"/>
  <c r="T26" i="8" s="1"/>
  <c r="S25" i="8"/>
  <c r="S24" i="8"/>
  <c r="S23" i="8"/>
  <c r="S22" i="8"/>
  <c r="S21" i="8"/>
  <c r="S20" i="8"/>
  <c r="S19" i="8"/>
  <c r="S18" i="8"/>
  <c r="T18" i="8" s="1"/>
  <c r="S17" i="8"/>
  <c r="S16" i="8"/>
  <c r="S15" i="8"/>
  <c r="S14" i="8"/>
  <c r="S13" i="8"/>
  <c r="S12" i="8"/>
  <c r="S11" i="8"/>
  <c r="S10" i="8"/>
  <c r="T10" i="8" s="1"/>
  <c r="S9" i="8"/>
  <c r="S8" i="8"/>
  <c r="S7" i="8"/>
  <c r="S6" i="8"/>
  <c r="Y32" i="41"/>
  <c r="S31" i="41"/>
  <c r="Y31" i="41" s="1"/>
  <c r="Z31" i="41" s="1"/>
  <c r="X30" i="41"/>
  <c r="W30" i="41"/>
  <c r="V30" i="41"/>
  <c r="U30" i="41"/>
  <c r="R30" i="41"/>
  <c r="Q30" i="41"/>
  <c r="P30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C30" i="41"/>
  <c r="S29" i="41"/>
  <c r="Y29" i="41" s="1"/>
  <c r="S28" i="41"/>
  <c r="Y28" i="41" s="1"/>
  <c r="S27" i="41"/>
  <c r="Y27" i="41" s="1"/>
  <c r="S26" i="41"/>
  <c r="Y26" i="41" s="1"/>
  <c r="S25" i="41"/>
  <c r="Y25" i="41" s="1"/>
  <c r="S24" i="41"/>
  <c r="Y24" i="41" s="1"/>
  <c r="S23" i="41"/>
  <c r="Y23" i="41" s="1"/>
  <c r="S22" i="41"/>
  <c r="Y22" i="41" s="1"/>
  <c r="Z22" i="41" s="1"/>
  <c r="T21" i="41"/>
  <c r="S21" i="41"/>
  <c r="Y21" i="41" s="1"/>
  <c r="S20" i="41"/>
  <c r="Y20" i="41" s="1"/>
  <c r="S19" i="41"/>
  <c r="Y19" i="41" s="1"/>
  <c r="S18" i="41"/>
  <c r="Y18" i="41" s="1"/>
  <c r="S17" i="41"/>
  <c r="Y17" i="41" s="1"/>
  <c r="S16" i="41"/>
  <c r="Y16" i="41" s="1"/>
  <c r="Z16" i="41" s="1"/>
  <c r="S15" i="41"/>
  <c r="Y15" i="41" s="1"/>
  <c r="S14" i="41"/>
  <c r="Y14" i="41" s="1"/>
  <c r="S13" i="41"/>
  <c r="Y13" i="41" s="1"/>
  <c r="S12" i="41"/>
  <c r="Y12" i="41" s="1"/>
  <c r="S11" i="41"/>
  <c r="Y11" i="41" s="1"/>
  <c r="S10" i="41"/>
  <c r="Y10" i="41" s="1"/>
  <c r="S9" i="41"/>
  <c r="Y9" i="41" s="1"/>
  <c r="S8" i="41"/>
  <c r="Y8" i="41" s="1"/>
  <c r="S7" i="41"/>
  <c r="Y7" i="41" s="1"/>
  <c r="S6" i="41"/>
  <c r="Y6" i="41" s="1"/>
  <c r="T11" i="41" l="1"/>
  <c r="T19" i="8"/>
  <c r="T31" i="8"/>
  <c r="Z12" i="41"/>
  <c r="T17" i="41"/>
  <c r="Z28" i="41"/>
  <c r="T31" i="41"/>
  <c r="T12" i="8"/>
  <c r="T20" i="8"/>
  <c r="T28" i="8"/>
  <c r="T7" i="41"/>
  <c r="Z18" i="41"/>
  <c r="T23" i="41"/>
  <c r="T13" i="8"/>
  <c r="T21" i="8"/>
  <c r="T29" i="8"/>
  <c r="Z29" i="30"/>
  <c r="Z13" i="30"/>
  <c r="Z16" i="30"/>
  <c r="Z14" i="30"/>
  <c r="T11" i="8"/>
  <c r="Z8" i="41"/>
  <c r="T13" i="41"/>
  <c r="T29" i="41"/>
  <c r="T22" i="8"/>
  <c r="T27" i="41"/>
  <c r="Z24" i="41"/>
  <c r="T14" i="8"/>
  <c r="Z14" i="41"/>
  <c r="T19" i="41"/>
  <c r="T7" i="8"/>
  <c r="T23" i="8"/>
  <c r="T9" i="41"/>
  <c r="Z20" i="41"/>
  <c r="T25" i="41"/>
  <c r="T8" i="8"/>
  <c r="T16" i="8"/>
  <c r="T24" i="8"/>
  <c r="Z23" i="30"/>
  <c r="Z7" i="30"/>
  <c r="Y34" i="63"/>
  <c r="Z10" i="30"/>
  <c r="T27" i="8"/>
  <c r="T6" i="8"/>
  <c r="T15" i="8"/>
  <c r="Z10" i="41"/>
  <c r="T15" i="41"/>
  <c r="Z26" i="41"/>
  <c r="T9" i="8"/>
  <c r="T17" i="8"/>
  <c r="T25" i="8"/>
  <c r="Z21" i="30"/>
  <c r="Z31" i="30"/>
  <c r="T6" i="41"/>
  <c r="T8" i="41"/>
  <c r="T10" i="41"/>
  <c r="T12" i="41"/>
  <c r="T14" i="41"/>
  <c r="T16" i="41"/>
  <c r="T18" i="41"/>
  <c r="T20" i="41"/>
  <c r="T22" i="41"/>
  <c r="T24" i="41"/>
  <c r="T26" i="41"/>
  <c r="T28" i="41"/>
  <c r="T30" i="30"/>
  <c r="Y30" i="30"/>
  <c r="Z6" i="30"/>
  <c r="S30" i="8"/>
  <c r="Y6" i="8"/>
  <c r="Y7" i="8"/>
  <c r="Z7" i="8" s="1"/>
  <c r="Y9" i="8"/>
  <c r="Z9" i="8" s="1"/>
  <c r="Y10" i="8"/>
  <c r="Z10" i="8" s="1"/>
  <c r="Y11" i="8"/>
  <c r="Z11" i="8" s="1"/>
  <c r="Y12" i="8"/>
  <c r="Z12" i="8" s="1"/>
  <c r="Y13" i="8"/>
  <c r="Z13" i="8" s="1"/>
  <c r="Y14" i="8"/>
  <c r="Z14" i="8" s="1"/>
  <c r="Y15" i="8"/>
  <c r="Z15" i="8" s="1"/>
  <c r="Y16" i="8"/>
  <c r="Z16" i="8" s="1"/>
  <c r="Y17" i="8"/>
  <c r="Z17" i="8" s="1"/>
  <c r="Y18" i="8"/>
  <c r="Z18" i="8" s="1"/>
  <c r="Y19" i="8"/>
  <c r="Z19" i="8" s="1"/>
  <c r="Y20" i="8"/>
  <c r="Z20" i="8" s="1"/>
  <c r="Y21" i="8"/>
  <c r="Z21" i="8" s="1"/>
  <c r="Y22" i="8"/>
  <c r="Z22" i="8" s="1"/>
  <c r="Y23" i="8"/>
  <c r="Z23" i="8" s="1"/>
  <c r="Y24" i="8"/>
  <c r="Z24" i="8" s="1"/>
  <c r="Y25" i="8"/>
  <c r="Z25" i="8" s="1"/>
  <c r="Y26" i="8"/>
  <c r="Z26" i="8" s="1"/>
  <c r="Y27" i="8"/>
  <c r="Z27" i="8" s="1"/>
  <c r="Y28" i="8"/>
  <c r="Z28" i="8" s="1"/>
  <c r="Y29" i="8"/>
  <c r="Z29" i="8" s="1"/>
  <c r="Y8" i="8"/>
  <c r="Z8" i="8" s="1"/>
  <c r="Z7" i="41"/>
  <c r="Z9" i="41"/>
  <c r="Z11" i="41"/>
  <c r="Z13" i="41"/>
  <c r="Z15" i="41"/>
  <c r="Z17" i="41"/>
  <c r="Z19" i="41"/>
  <c r="Z21" i="41"/>
  <c r="Z23" i="41"/>
  <c r="Z25" i="41"/>
  <c r="Z27" i="41"/>
  <c r="Z29" i="41"/>
  <c r="Y30" i="41"/>
  <c r="Z6" i="41"/>
  <c r="S30" i="41"/>
  <c r="Y32" i="40"/>
  <c r="S31" i="40"/>
  <c r="Y31" i="40" s="1"/>
  <c r="Z31" i="40" s="1"/>
  <c r="X30" i="40"/>
  <c r="W30" i="40"/>
  <c r="V30" i="40"/>
  <c r="U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S29" i="40"/>
  <c r="Y29" i="40" s="1"/>
  <c r="S28" i="40"/>
  <c r="Y28" i="40" s="1"/>
  <c r="S27" i="40"/>
  <c r="Y27" i="40" s="1"/>
  <c r="Z27" i="40" s="1"/>
  <c r="T26" i="40"/>
  <c r="S26" i="40"/>
  <c r="Y26" i="40" s="1"/>
  <c r="S25" i="40"/>
  <c r="Y25" i="40" s="1"/>
  <c r="S24" i="40"/>
  <c r="Y24" i="40" s="1"/>
  <c r="S23" i="40"/>
  <c r="Y23" i="40" s="1"/>
  <c r="S22" i="40"/>
  <c r="Y22" i="40" s="1"/>
  <c r="Z22" i="40" s="1"/>
  <c r="S21" i="40"/>
  <c r="Y21" i="40" s="1"/>
  <c r="Z21" i="40" s="1"/>
  <c r="S20" i="40"/>
  <c r="Y20" i="40" s="1"/>
  <c r="S19" i="40"/>
  <c r="Y19" i="40" s="1"/>
  <c r="S18" i="40"/>
  <c r="Y18" i="40" s="1"/>
  <c r="S17" i="40"/>
  <c r="Y17" i="40" s="1"/>
  <c r="S16" i="40"/>
  <c r="Y16" i="40" s="1"/>
  <c r="Z16" i="40" s="1"/>
  <c r="S15" i="40"/>
  <c r="Y15" i="40" s="1"/>
  <c r="S14" i="40"/>
  <c r="Y14" i="40" s="1"/>
  <c r="S13" i="40"/>
  <c r="Y13" i="40" s="1"/>
  <c r="S12" i="40"/>
  <c r="Y12" i="40" s="1"/>
  <c r="S11" i="40"/>
  <c r="Y11" i="40" s="1"/>
  <c r="Z11" i="40" s="1"/>
  <c r="T10" i="40"/>
  <c r="S10" i="40"/>
  <c r="Y10" i="40" s="1"/>
  <c r="S9" i="40"/>
  <c r="Y9" i="40" s="1"/>
  <c r="S8" i="40"/>
  <c r="Y8" i="40" s="1"/>
  <c r="S7" i="40"/>
  <c r="Y7" i="40" s="1"/>
  <c r="S6" i="40"/>
  <c r="Y6" i="40" s="1"/>
  <c r="Y32" i="39"/>
  <c r="S31" i="39"/>
  <c r="Y31" i="39" s="1"/>
  <c r="Z31" i="39" s="1"/>
  <c r="X30" i="39"/>
  <c r="W30" i="39"/>
  <c r="V30" i="39"/>
  <c r="U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S29" i="39"/>
  <c r="Y29" i="39" s="1"/>
  <c r="S28" i="39"/>
  <c r="Y28" i="39" s="1"/>
  <c r="Z28" i="39" s="1"/>
  <c r="T27" i="39"/>
  <c r="S27" i="39"/>
  <c r="Y27" i="39" s="1"/>
  <c r="S26" i="39"/>
  <c r="Y26" i="39" s="1"/>
  <c r="Z26" i="39" s="1"/>
  <c r="S25" i="39"/>
  <c r="Y25" i="39" s="1"/>
  <c r="S24" i="39"/>
  <c r="Y24" i="39" s="1"/>
  <c r="Z24" i="39" s="1"/>
  <c r="T23" i="39"/>
  <c r="S23" i="39"/>
  <c r="Y23" i="39" s="1"/>
  <c r="Z23" i="39" s="1"/>
  <c r="S22" i="39"/>
  <c r="Y22" i="39" s="1"/>
  <c r="Z22" i="39" s="1"/>
  <c r="S21" i="39"/>
  <c r="Y21" i="39" s="1"/>
  <c r="Z21" i="39" s="1"/>
  <c r="S20" i="39"/>
  <c r="Y20" i="39" s="1"/>
  <c r="Z20" i="39" s="1"/>
  <c r="S19" i="39"/>
  <c r="Y19" i="39" s="1"/>
  <c r="Z19" i="39" s="1"/>
  <c r="S18" i="39"/>
  <c r="Y18" i="39" s="1"/>
  <c r="Z18" i="39" s="1"/>
  <c r="S17" i="39"/>
  <c r="Y17" i="39" s="1"/>
  <c r="Z17" i="39" s="1"/>
  <c r="S16" i="39"/>
  <c r="Y16" i="39" s="1"/>
  <c r="Z16" i="39" s="1"/>
  <c r="S15" i="39"/>
  <c r="Y15" i="39" s="1"/>
  <c r="Z15" i="39" s="1"/>
  <c r="S14" i="39"/>
  <c r="Y14" i="39" s="1"/>
  <c r="Z14" i="39" s="1"/>
  <c r="S13" i="39"/>
  <c r="Y13" i="39" s="1"/>
  <c r="Z13" i="39" s="1"/>
  <c r="S12" i="39"/>
  <c r="Y12" i="39" s="1"/>
  <c r="Z12" i="39" s="1"/>
  <c r="T11" i="39"/>
  <c r="S11" i="39"/>
  <c r="Y11" i="39" s="1"/>
  <c r="Z11" i="39" s="1"/>
  <c r="S10" i="39"/>
  <c r="Y10" i="39" s="1"/>
  <c r="Z10" i="39" s="1"/>
  <c r="S9" i="39"/>
  <c r="Y9" i="39" s="1"/>
  <c r="Z9" i="39" s="1"/>
  <c r="S8" i="39"/>
  <c r="Y8" i="39" s="1"/>
  <c r="Z8" i="39" s="1"/>
  <c r="T7" i="39"/>
  <c r="S7" i="39"/>
  <c r="Y7" i="39" s="1"/>
  <c r="Z7" i="39" s="1"/>
  <c r="S6" i="39"/>
  <c r="Y6" i="39" s="1"/>
  <c r="Z17" i="40" l="1"/>
  <c r="T9" i="39"/>
  <c r="Z23" i="40"/>
  <c r="T28" i="40"/>
  <c r="Z24" i="40"/>
  <c r="Z30" i="30"/>
  <c r="T30" i="8"/>
  <c r="T21" i="39"/>
  <c r="T8" i="40"/>
  <c r="Z14" i="40"/>
  <c r="Z19" i="40"/>
  <c r="T24" i="40"/>
  <c r="T29" i="39"/>
  <c r="T16" i="40"/>
  <c r="Z12" i="40"/>
  <c r="T22" i="40"/>
  <c r="T25" i="39"/>
  <c r="Z18" i="40"/>
  <c r="T15" i="39"/>
  <c r="Z8" i="40"/>
  <c r="Z29" i="40"/>
  <c r="Z9" i="40"/>
  <c r="T14" i="40"/>
  <c r="Z20" i="40"/>
  <c r="Z25" i="40"/>
  <c r="T13" i="39"/>
  <c r="T19" i="39"/>
  <c r="T6" i="40"/>
  <c r="Z28" i="40"/>
  <c r="T31" i="40"/>
  <c r="Z7" i="40"/>
  <c r="T12" i="40"/>
  <c r="Z13" i="40"/>
  <c r="T18" i="40"/>
  <c r="T17" i="39"/>
  <c r="T31" i="39"/>
  <c r="Z10" i="40"/>
  <c r="Z15" i="40"/>
  <c r="T20" i="40"/>
  <c r="Z26" i="40"/>
  <c r="T30" i="41"/>
  <c r="T7" i="40"/>
  <c r="T9" i="40"/>
  <c r="T11" i="40"/>
  <c r="T13" i="40"/>
  <c r="T15" i="40"/>
  <c r="T17" i="40"/>
  <c r="T19" i="40"/>
  <c r="T21" i="40"/>
  <c r="T23" i="40"/>
  <c r="T25" i="40"/>
  <c r="T27" i="40"/>
  <c r="T29" i="40"/>
  <c r="T6" i="39"/>
  <c r="T8" i="39"/>
  <c r="T10" i="39"/>
  <c r="T12" i="39"/>
  <c r="T14" i="39"/>
  <c r="T16" i="39"/>
  <c r="T18" i="39"/>
  <c r="T20" i="39"/>
  <c r="T22" i="39"/>
  <c r="T24" i="39"/>
  <c r="T26" i="39"/>
  <c r="T28" i="39"/>
  <c r="Z6" i="8"/>
  <c r="Z30" i="8" s="1"/>
  <c r="Y30" i="8"/>
  <c r="Z30" i="41"/>
  <c r="Y30" i="40"/>
  <c r="Z6" i="40"/>
  <c r="S30" i="40"/>
  <c r="Y30" i="39"/>
  <c r="Z6" i="39"/>
  <c r="Z25" i="39"/>
  <c r="Z27" i="39"/>
  <c r="Z29" i="39"/>
  <c r="S30" i="39"/>
  <c r="T30" i="40" l="1"/>
  <c r="Z30" i="40"/>
  <c r="T30" i="39"/>
  <c r="Z30" i="39"/>
  <c r="S31" i="26" l="1"/>
  <c r="Y31" i="26" s="1"/>
  <c r="Z31" i="26" s="1"/>
  <c r="X30" i="26"/>
  <c r="W30" i="26"/>
  <c r="V30" i="26"/>
  <c r="U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Y29" i="26"/>
  <c r="S29" i="26"/>
  <c r="T29" i="26" s="1"/>
  <c r="S28" i="26"/>
  <c r="T28" i="26" s="1"/>
  <c r="S27" i="26"/>
  <c r="Y27" i="26" s="1"/>
  <c r="Z27" i="26" s="1"/>
  <c r="S26" i="26"/>
  <c r="T26" i="26" s="1"/>
  <c r="S25" i="26"/>
  <c r="Y25" i="26" s="1"/>
  <c r="Z25" i="26" s="1"/>
  <c r="S24" i="26"/>
  <c r="T24" i="26" s="1"/>
  <c r="Y23" i="26"/>
  <c r="S23" i="26"/>
  <c r="T23" i="26" s="1"/>
  <c r="Y22" i="26"/>
  <c r="S22" i="26"/>
  <c r="T22" i="26" s="1"/>
  <c r="S21" i="26"/>
  <c r="T21" i="26" s="1"/>
  <c r="S20" i="26"/>
  <c r="T20" i="26" s="1"/>
  <c r="Y19" i="26"/>
  <c r="S19" i="26"/>
  <c r="T19" i="26" s="1"/>
  <c r="Y18" i="26"/>
  <c r="S18" i="26"/>
  <c r="T18" i="26" s="1"/>
  <c r="S17" i="26"/>
  <c r="T17" i="26" s="1"/>
  <c r="S16" i="26"/>
  <c r="T16" i="26" s="1"/>
  <c r="Y15" i="26"/>
  <c r="S15" i="26"/>
  <c r="T15" i="26" s="1"/>
  <c r="S14" i="26"/>
  <c r="T14" i="26" s="1"/>
  <c r="S13" i="26"/>
  <c r="T13" i="26" s="1"/>
  <c r="S12" i="26"/>
  <c r="T12" i="26" s="1"/>
  <c r="Y11" i="26"/>
  <c r="S11" i="26"/>
  <c r="T11" i="26" s="1"/>
  <c r="S10" i="26"/>
  <c r="T10" i="26" s="1"/>
  <c r="S9" i="26"/>
  <c r="T9" i="26" s="1"/>
  <c r="S8" i="26"/>
  <c r="T8" i="26" s="1"/>
  <c r="Y7" i="26"/>
  <c r="S7" i="26"/>
  <c r="T7" i="26" s="1"/>
  <c r="S6" i="26"/>
  <c r="Z11" i="26" l="1"/>
  <c r="Z19" i="26"/>
  <c r="T27" i="26"/>
  <c r="Y12" i="26"/>
  <c r="Z12" i="26" s="1"/>
  <c r="Y20" i="26"/>
  <c r="Z20" i="26" s="1"/>
  <c r="Y9" i="26"/>
  <c r="Z9" i="26" s="1"/>
  <c r="Y17" i="26"/>
  <c r="Z17" i="26" s="1"/>
  <c r="T25" i="26"/>
  <c r="S30" i="26"/>
  <c r="Y28" i="26"/>
  <c r="Z28" i="26" s="1"/>
  <c r="Z15" i="26"/>
  <c r="Z23" i="26"/>
  <c r="Y8" i="26"/>
  <c r="Z8" i="26" s="1"/>
  <c r="Y24" i="26"/>
  <c r="Z24" i="26" s="1"/>
  <c r="Y13" i="26"/>
  <c r="Z13" i="26" s="1"/>
  <c r="Y21" i="26"/>
  <c r="Z21" i="26" s="1"/>
  <c r="Y6" i="26"/>
  <c r="Y30" i="26" s="1"/>
  <c r="Y10" i="26"/>
  <c r="Z10" i="26" s="1"/>
  <c r="Y14" i="26"/>
  <c r="Z14" i="26" s="1"/>
  <c r="Z18" i="26"/>
  <c r="Z22" i="26"/>
  <c r="T31" i="26"/>
  <c r="Z7" i="26"/>
  <c r="Z29" i="26"/>
  <c r="Y16" i="26"/>
  <c r="Z16" i="26" s="1"/>
  <c r="Y26" i="26"/>
  <c r="Z26" i="26" s="1"/>
  <c r="T6" i="26"/>
  <c r="T30" i="26" l="1"/>
  <c r="Z6" i="26"/>
  <c r="Z30" i="26" s="1"/>
  <c r="Y32" i="18"/>
  <c r="S31" i="18"/>
  <c r="T31" i="18" s="1"/>
  <c r="X30" i="18"/>
  <c r="W30" i="18"/>
  <c r="V30" i="18"/>
  <c r="U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S29" i="18"/>
  <c r="T29" i="18" s="1"/>
  <c r="S28" i="18"/>
  <c r="T28" i="18" s="1"/>
  <c r="S27" i="18"/>
  <c r="T27" i="18" s="1"/>
  <c r="S26" i="18"/>
  <c r="T26" i="18" s="1"/>
  <c r="S25" i="18"/>
  <c r="T25" i="18" s="1"/>
  <c r="S24" i="18"/>
  <c r="T24" i="18" s="1"/>
  <c r="S23" i="18"/>
  <c r="T23" i="18" s="1"/>
  <c r="S22" i="18"/>
  <c r="T22" i="18" s="1"/>
  <c r="S21" i="18"/>
  <c r="T21" i="18" s="1"/>
  <c r="S20" i="18"/>
  <c r="T20" i="18" s="1"/>
  <c r="S19" i="18"/>
  <c r="T19" i="18" s="1"/>
  <c r="S18" i="18"/>
  <c r="T18" i="18" s="1"/>
  <c r="S17" i="18"/>
  <c r="T17" i="18" s="1"/>
  <c r="S16" i="18"/>
  <c r="T16" i="18" s="1"/>
  <c r="S15" i="18"/>
  <c r="T15" i="18" s="1"/>
  <c r="S14" i="18"/>
  <c r="T14" i="18" s="1"/>
  <c r="S13" i="18"/>
  <c r="T13" i="18" s="1"/>
  <c r="S12" i="18"/>
  <c r="T12" i="18" s="1"/>
  <c r="S11" i="18"/>
  <c r="T11" i="18" s="1"/>
  <c r="S10" i="18"/>
  <c r="T10" i="18" s="1"/>
  <c r="S9" i="18"/>
  <c r="T9" i="18" s="1"/>
  <c r="S8" i="18"/>
  <c r="T8" i="18" s="1"/>
  <c r="S7" i="18"/>
  <c r="T7" i="18" s="1"/>
  <c r="S6" i="18"/>
  <c r="T6" i="18" s="1"/>
  <c r="T30" i="18" l="1"/>
  <c r="S30" i="18"/>
  <c r="Y6" i="18"/>
  <c r="Y7" i="18"/>
  <c r="Y8" i="18"/>
  <c r="Y9" i="18"/>
  <c r="Z9" i="18" s="1"/>
  <c r="Y10" i="18"/>
  <c r="Y11" i="18"/>
  <c r="Y12" i="18"/>
  <c r="Y13" i="18"/>
  <c r="Y14" i="18"/>
  <c r="Y15" i="18"/>
  <c r="Y16" i="18"/>
  <c r="Y17" i="18"/>
  <c r="Z17" i="18" s="1"/>
  <c r="Y18" i="18"/>
  <c r="Y19" i="18"/>
  <c r="Y20" i="18"/>
  <c r="Y21" i="18"/>
  <c r="Y22" i="18"/>
  <c r="Y23" i="18"/>
  <c r="Y24" i="18"/>
  <c r="Z24" i="18" s="1"/>
  <c r="Y25" i="18"/>
  <c r="Z25" i="18" s="1"/>
  <c r="Y26" i="18"/>
  <c r="Y27" i="18"/>
  <c r="Y28" i="18"/>
  <c r="Y29" i="18"/>
  <c r="Y31" i="18"/>
  <c r="Z31" i="18" s="1"/>
  <c r="Z16" i="18" l="1"/>
  <c r="Z8" i="18"/>
  <c r="Z29" i="18"/>
  <c r="Z21" i="18"/>
  <c r="Z13" i="18"/>
  <c r="Z28" i="18"/>
  <c r="Z20" i="18"/>
  <c r="Z12" i="18"/>
  <c r="Y30" i="18"/>
  <c r="Z6" i="18"/>
  <c r="Z26" i="18"/>
  <c r="Z22" i="18"/>
  <c r="Z18" i="18"/>
  <c r="Z14" i="18"/>
  <c r="Z10" i="18"/>
  <c r="Z27" i="18"/>
  <c r="Z23" i="18"/>
  <c r="Z19" i="18"/>
  <c r="Z15" i="18"/>
  <c r="Z11" i="18"/>
  <c r="Z7" i="18"/>
  <c r="Z30" i="18" l="1"/>
  <c r="C45" i="17"/>
  <c r="Y32" i="17"/>
  <c r="S31" i="17"/>
  <c r="T31" i="17" s="1"/>
  <c r="X30" i="17"/>
  <c r="W30" i="17"/>
  <c r="V30" i="17"/>
  <c r="U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S29" i="17"/>
  <c r="Y29" i="17" s="1"/>
  <c r="S28" i="17"/>
  <c r="Y28" i="17" s="1"/>
  <c r="T27" i="17"/>
  <c r="S27" i="17"/>
  <c r="Y27" i="17" s="1"/>
  <c r="S26" i="17"/>
  <c r="Y26" i="17" s="1"/>
  <c r="S25" i="17"/>
  <c r="Y25" i="17" s="1"/>
  <c r="S24" i="17"/>
  <c r="Y24" i="17" s="1"/>
  <c r="T23" i="17"/>
  <c r="S23" i="17"/>
  <c r="Y23" i="17" s="1"/>
  <c r="S22" i="17"/>
  <c r="Y22" i="17" s="1"/>
  <c r="S21" i="17"/>
  <c r="Y21" i="17" s="1"/>
  <c r="S20" i="17"/>
  <c r="Y20" i="17" s="1"/>
  <c r="T19" i="17"/>
  <c r="S19" i="17"/>
  <c r="Y19" i="17" s="1"/>
  <c r="S18" i="17"/>
  <c r="Y18" i="17" s="1"/>
  <c r="S17" i="17"/>
  <c r="Y17" i="17" s="1"/>
  <c r="S16" i="17"/>
  <c r="Y16" i="17" s="1"/>
  <c r="T15" i="17"/>
  <c r="S15" i="17"/>
  <c r="Y15" i="17" s="1"/>
  <c r="S14" i="17"/>
  <c r="Y14" i="17" s="1"/>
  <c r="S13" i="17"/>
  <c r="Y13" i="17" s="1"/>
  <c r="S12" i="17"/>
  <c r="Y12" i="17" s="1"/>
  <c r="T11" i="17"/>
  <c r="S11" i="17"/>
  <c r="Y11" i="17" s="1"/>
  <c r="S10" i="17"/>
  <c r="Y10" i="17" s="1"/>
  <c r="S9" i="17"/>
  <c r="Y9" i="17" s="1"/>
  <c r="S8" i="17"/>
  <c r="Y8" i="17" s="1"/>
  <c r="T7" i="17"/>
  <c r="S7" i="17"/>
  <c r="Y7" i="17" s="1"/>
  <c r="S6" i="17"/>
  <c r="Y6" i="17" s="1"/>
  <c r="Z20" i="17" l="1"/>
  <c r="Z13" i="17"/>
  <c r="Z17" i="17"/>
  <c r="Z21" i="17"/>
  <c r="Z25" i="17"/>
  <c r="Z29" i="17"/>
  <c r="Y31" i="17"/>
  <c r="Z31" i="17" s="1"/>
  <c r="T9" i="17"/>
  <c r="T13" i="17"/>
  <c r="T17" i="17"/>
  <c r="T21" i="17"/>
  <c r="T25" i="17"/>
  <c r="T29" i="17"/>
  <c r="Z12" i="17"/>
  <c r="Z24" i="17"/>
  <c r="Z10" i="17"/>
  <c r="Z14" i="17"/>
  <c r="Z18" i="17"/>
  <c r="Z22" i="17"/>
  <c r="Z26" i="17"/>
  <c r="T6" i="17"/>
  <c r="T10" i="17"/>
  <c r="T14" i="17"/>
  <c r="T18" i="17"/>
  <c r="T22" i="17"/>
  <c r="T26" i="17"/>
  <c r="Z16" i="17"/>
  <c r="Z28" i="17"/>
  <c r="T8" i="17"/>
  <c r="T12" i="17"/>
  <c r="T16" i="17"/>
  <c r="T20" i="17"/>
  <c r="T24" i="17"/>
  <c r="T28" i="17"/>
  <c r="Z7" i="17"/>
  <c r="Z11" i="17"/>
  <c r="Z15" i="17"/>
  <c r="Z19" i="17"/>
  <c r="Z23" i="17"/>
  <c r="Z27" i="17"/>
  <c r="Y30" i="17"/>
  <c r="Z6" i="17"/>
  <c r="S30" i="17"/>
  <c r="Z9" i="17" l="1"/>
  <c r="T30" i="17"/>
  <c r="Z8" i="17"/>
  <c r="Z30" i="17" s="1"/>
  <c r="Y32" i="16"/>
  <c r="S31" i="16"/>
  <c r="T31" i="16" s="1"/>
  <c r="X30" i="16"/>
  <c r="W30" i="16"/>
  <c r="V30" i="16"/>
  <c r="U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S29" i="16"/>
  <c r="Y29" i="16" s="1"/>
  <c r="Y28" i="16"/>
  <c r="S28" i="16"/>
  <c r="T28" i="16" s="1"/>
  <c r="S27" i="16"/>
  <c r="Y27" i="16" s="1"/>
  <c r="S26" i="16"/>
  <c r="Y26" i="16" s="1"/>
  <c r="S25" i="16"/>
  <c r="Y25" i="16" s="1"/>
  <c r="S24" i="16"/>
  <c r="Y24" i="16" s="1"/>
  <c r="Y23" i="16"/>
  <c r="T23" i="16"/>
  <c r="S23" i="16"/>
  <c r="S22" i="16"/>
  <c r="Y22" i="16" s="1"/>
  <c r="S21" i="16"/>
  <c r="Y21" i="16" s="1"/>
  <c r="Y20" i="16"/>
  <c r="S20" i="16"/>
  <c r="T20" i="16" s="1"/>
  <c r="S19" i="16"/>
  <c r="T19" i="16" s="1"/>
  <c r="S18" i="16"/>
  <c r="Y18" i="16" s="1"/>
  <c r="S17" i="16"/>
  <c r="Y17" i="16" s="1"/>
  <c r="S16" i="16"/>
  <c r="Y16" i="16" s="1"/>
  <c r="Y15" i="16"/>
  <c r="T15" i="16"/>
  <c r="S15" i="16"/>
  <c r="S14" i="16"/>
  <c r="Y14" i="16" s="1"/>
  <c r="S13" i="16"/>
  <c r="Y13" i="16" s="1"/>
  <c r="Y12" i="16"/>
  <c r="S12" i="16"/>
  <c r="T12" i="16" s="1"/>
  <c r="S11" i="16"/>
  <c r="T11" i="16" s="1"/>
  <c r="S10" i="16"/>
  <c r="Y10" i="16" s="1"/>
  <c r="S9" i="16"/>
  <c r="Y9" i="16" s="1"/>
  <c r="S8" i="16"/>
  <c r="Y8" i="16" s="1"/>
  <c r="Y7" i="16"/>
  <c r="T7" i="16"/>
  <c r="S7" i="16"/>
  <c r="S6" i="16"/>
  <c r="Y6" i="16" s="1"/>
  <c r="Z10" i="16" l="1"/>
  <c r="Z22" i="16"/>
  <c r="Z8" i="16"/>
  <c r="Z9" i="16"/>
  <c r="Z26" i="16"/>
  <c r="Z16" i="16"/>
  <c r="Z17" i="16"/>
  <c r="Z18" i="16"/>
  <c r="T10" i="16"/>
  <c r="Z15" i="16"/>
  <c r="T18" i="16"/>
  <c r="Z23" i="16"/>
  <c r="T26" i="16"/>
  <c r="T21" i="16"/>
  <c r="T29" i="16"/>
  <c r="Y31" i="16"/>
  <c r="Z31" i="16" s="1"/>
  <c r="T8" i="16"/>
  <c r="T27" i="16"/>
  <c r="T6" i="16"/>
  <c r="Y11" i="16"/>
  <c r="Z11" i="16" s="1"/>
  <c r="T14" i="16"/>
  <c r="Y19" i="16"/>
  <c r="T22" i="16"/>
  <c r="Z28" i="16"/>
  <c r="T24" i="16"/>
  <c r="T9" i="16"/>
  <c r="T17" i="16"/>
  <c r="T25" i="16"/>
  <c r="T13" i="16"/>
  <c r="T16" i="16"/>
  <c r="S30" i="16"/>
  <c r="Y32" i="6"/>
  <c r="S31" i="6"/>
  <c r="Y31" i="6" s="1"/>
  <c r="Z31" i="6" s="1"/>
  <c r="X30" i="6"/>
  <c r="W30" i="6"/>
  <c r="V30" i="6"/>
  <c r="U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S29" i="6"/>
  <c r="Y29" i="6" s="1"/>
  <c r="S28" i="6"/>
  <c r="Y28" i="6" s="1"/>
  <c r="S27" i="6"/>
  <c r="Y27" i="6" s="1"/>
  <c r="Z27" i="6" s="1"/>
  <c r="S26" i="6"/>
  <c r="Y26" i="6" s="1"/>
  <c r="S25" i="6"/>
  <c r="Y25" i="6" s="1"/>
  <c r="S24" i="6"/>
  <c r="Y24" i="6" s="1"/>
  <c r="S23" i="6"/>
  <c r="Y23" i="6" s="1"/>
  <c r="S22" i="6"/>
  <c r="Y22" i="6" s="1"/>
  <c r="Z22" i="6" s="1"/>
  <c r="T21" i="6"/>
  <c r="S21" i="6"/>
  <c r="Y21" i="6" s="1"/>
  <c r="S20" i="6"/>
  <c r="Y20" i="6" s="1"/>
  <c r="S19" i="6"/>
  <c r="Y19" i="6" s="1"/>
  <c r="S18" i="6"/>
  <c r="Y18" i="6" s="1"/>
  <c r="S17" i="6"/>
  <c r="Y17" i="6" s="1"/>
  <c r="Z17" i="6" s="1"/>
  <c r="S16" i="6"/>
  <c r="Y16" i="6" s="1"/>
  <c r="Z16" i="6" s="1"/>
  <c r="S15" i="6"/>
  <c r="Y15" i="6" s="1"/>
  <c r="S14" i="6"/>
  <c r="Y14" i="6" s="1"/>
  <c r="S13" i="6"/>
  <c r="Y13" i="6" s="1"/>
  <c r="S12" i="6"/>
  <c r="Y12" i="6" s="1"/>
  <c r="S11" i="6"/>
  <c r="Y11" i="6" s="1"/>
  <c r="Z11" i="6" s="1"/>
  <c r="S10" i="6"/>
  <c r="Y10" i="6" s="1"/>
  <c r="S9" i="6"/>
  <c r="Y9" i="6" s="1"/>
  <c r="S8" i="6"/>
  <c r="Y8" i="6" s="1"/>
  <c r="S7" i="6"/>
  <c r="Y7" i="6" s="1"/>
  <c r="S6" i="6"/>
  <c r="Y6" i="6" s="1"/>
  <c r="C50" i="51"/>
  <c r="Y32" i="51"/>
  <c r="T31" i="51"/>
  <c r="S31" i="51"/>
  <c r="Y31" i="51" s="1"/>
  <c r="Z31" i="51" s="1"/>
  <c r="X30" i="51"/>
  <c r="W30" i="51"/>
  <c r="V30" i="51"/>
  <c r="U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S29" i="51"/>
  <c r="Y29" i="51" s="1"/>
  <c r="Z29" i="51" s="1"/>
  <c r="S28" i="51"/>
  <c r="T28" i="51" s="1"/>
  <c r="Y27" i="51"/>
  <c r="T27" i="51"/>
  <c r="S27" i="51"/>
  <c r="T26" i="51"/>
  <c r="S26" i="51"/>
  <c r="Y26" i="51" s="1"/>
  <c r="Z26" i="51" s="1"/>
  <c r="S25" i="51"/>
  <c r="Y25" i="51" s="1"/>
  <c r="Z25" i="51" s="1"/>
  <c r="Y24" i="51"/>
  <c r="T24" i="51"/>
  <c r="S24" i="51"/>
  <c r="S23" i="51"/>
  <c r="Y23" i="51" s="1"/>
  <c r="Z23" i="51" s="1"/>
  <c r="S22" i="51"/>
  <c r="T22" i="51" s="1"/>
  <c r="S21" i="51"/>
  <c r="Y21" i="51" s="1"/>
  <c r="Z21" i="51" s="1"/>
  <c r="S20" i="51"/>
  <c r="T20" i="51" s="1"/>
  <c r="Y19" i="51"/>
  <c r="T19" i="51"/>
  <c r="S19" i="51"/>
  <c r="T18" i="51"/>
  <c r="S18" i="51"/>
  <c r="Y18" i="51" s="1"/>
  <c r="Z18" i="51" s="1"/>
  <c r="S17" i="51"/>
  <c r="Y17" i="51" s="1"/>
  <c r="Z17" i="51" s="1"/>
  <c r="Y16" i="51"/>
  <c r="T16" i="51"/>
  <c r="S16" i="51"/>
  <c r="S15" i="51"/>
  <c r="Y15" i="51" s="1"/>
  <c r="Z15" i="51" s="1"/>
  <c r="S14" i="51"/>
  <c r="Y14" i="51" s="1"/>
  <c r="Z14" i="51" s="1"/>
  <c r="S13" i="51"/>
  <c r="Y13" i="51" s="1"/>
  <c r="Z13" i="51" s="1"/>
  <c r="S12" i="51"/>
  <c r="T12" i="51" s="1"/>
  <c r="Y11" i="51"/>
  <c r="T11" i="51"/>
  <c r="S11" i="51"/>
  <c r="T10" i="51"/>
  <c r="S10" i="51"/>
  <c r="Y10" i="51" s="1"/>
  <c r="Z10" i="51" s="1"/>
  <c r="S9" i="51"/>
  <c r="Y9" i="51" s="1"/>
  <c r="Z9" i="51" s="1"/>
  <c r="Y8" i="51"/>
  <c r="T8" i="51"/>
  <c r="S8" i="51"/>
  <c r="S7" i="51"/>
  <c r="Y7" i="51" s="1"/>
  <c r="Z7" i="51" s="1"/>
  <c r="S6" i="51"/>
  <c r="S30" i="51" s="1"/>
  <c r="Y22" i="51" l="1"/>
  <c r="Z22" i="51" s="1"/>
  <c r="T25" i="51"/>
  <c r="Z23" i="6"/>
  <c r="T31" i="6"/>
  <c r="T30" i="16"/>
  <c r="Z13" i="6"/>
  <c r="Z18" i="6"/>
  <c r="T23" i="6"/>
  <c r="Z29" i="6"/>
  <c r="T7" i="51"/>
  <c r="Y12" i="51"/>
  <c r="Z12" i="51" s="1"/>
  <c r="T15" i="51"/>
  <c r="Y20" i="51"/>
  <c r="Z20" i="51" s="1"/>
  <c r="T23" i="51"/>
  <c r="Y28" i="51"/>
  <c r="Z28" i="51" s="1"/>
  <c r="Z8" i="6"/>
  <c r="T13" i="6"/>
  <c r="Z19" i="6"/>
  <c r="Z24" i="6"/>
  <c r="T29" i="6"/>
  <c r="Y30" i="16"/>
  <c r="Z14" i="16"/>
  <c r="Z27" i="16"/>
  <c r="Z24" i="51"/>
  <c r="Z27" i="51"/>
  <c r="T9" i="51"/>
  <c r="Z7" i="6"/>
  <c r="Z28" i="6"/>
  <c r="T7" i="6"/>
  <c r="Z14" i="6"/>
  <c r="T19" i="6"/>
  <c r="Z7" i="16"/>
  <c r="Z13" i="16"/>
  <c r="Z21" i="16"/>
  <c r="T13" i="51"/>
  <c r="T21" i="51"/>
  <c r="T29" i="51"/>
  <c r="T9" i="6"/>
  <c r="Z15" i="6"/>
  <c r="Z20" i="6"/>
  <c r="T25" i="6"/>
  <c r="Z20" i="16"/>
  <c r="Z29" i="16"/>
  <c r="Z25" i="16"/>
  <c r="Z8" i="51"/>
  <c r="Z16" i="51"/>
  <c r="T6" i="51"/>
  <c r="T30" i="51" s="1"/>
  <c r="Z11" i="51"/>
  <c r="T14" i="51"/>
  <c r="Z19" i="51"/>
  <c r="T11" i="6"/>
  <c r="T27" i="6"/>
  <c r="Y6" i="51"/>
  <c r="Z6" i="51" s="1"/>
  <c r="Z30" i="51" s="1"/>
  <c r="T17" i="51"/>
  <c r="Z12" i="6"/>
  <c r="T17" i="6"/>
  <c r="Z9" i="6"/>
  <c r="Z25" i="6"/>
  <c r="Z10" i="6"/>
  <c r="T15" i="6"/>
  <c r="Z21" i="6"/>
  <c r="Z26" i="6"/>
  <c r="Z19" i="16"/>
  <c r="Z12" i="16"/>
  <c r="Z6" i="16"/>
  <c r="Z24" i="16"/>
  <c r="T6" i="6"/>
  <c r="T8" i="6"/>
  <c r="T10" i="6"/>
  <c r="T12" i="6"/>
  <c r="T14" i="6"/>
  <c r="T16" i="6"/>
  <c r="T18" i="6"/>
  <c r="T20" i="6"/>
  <c r="T22" i="6"/>
  <c r="T24" i="6"/>
  <c r="T26" i="6"/>
  <c r="T28" i="6"/>
  <c r="Y30" i="6"/>
  <c r="Z6" i="6"/>
  <c r="Z30" i="6" s="1"/>
  <c r="S30" i="6"/>
  <c r="Y30" i="51" l="1"/>
  <c r="Z30" i="16"/>
  <c r="T30" i="6"/>
  <c r="C51" i="54"/>
  <c r="D49" i="54" s="1"/>
  <c r="D48" i="54"/>
  <c r="D47" i="54"/>
  <c r="D44" i="54"/>
  <c r="D43" i="54"/>
  <c r="Y32" i="54"/>
  <c r="T31" i="54"/>
  <c r="S31" i="54"/>
  <c r="Y31" i="54" s="1"/>
  <c r="Z31" i="54" s="1"/>
  <c r="X30" i="54"/>
  <c r="W30" i="54"/>
  <c r="V30" i="54"/>
  <c r="U30" i="54"/>
  <c r="R30" i="54"/>
  <c r="Q30" i="54"/>
  <c r="P30" i="54"/>
  <c r="O30" i="54"/>
  <c r="N30" i="54"/>
  <c r="M30" i="54"/>
  <c r="L30" i="54"/>
  <c r="K30" i="54"/>
  <c r="J30" i="54"/>
  <c r="I30" i="54"/>
  <c r="H30" i="54"/>
  <c r="G30" i="54"/>
  <c r="F30" i="54"/>
  <c r="E30" i="54"/>
  <c r="D30" i="54"/>
  <c r="C30" i="54"/>
  <c r="S29" i="54"/>
  <c r="Y29" i="54" s="1"/>
  <c r="Z29" i="54" s="1"/>
  <c r="S28" i="54"/>
  <c r="Y28" i="54" s="1"/>
  <c r="Z28" i="54" s="1"/>
  <c r="Y27" i="54"/>
  <c r="T27" i="54"/>
  <c r="S27" i="54"/>
  <c r="T26" i="54"/>
  <c r="S26" i="54"/>
  <c r="Y26" i="54" s="1"/>
  <c r="Z26" i="54" s="1"/>
  <c r="S25" i="54"/>
  <c r="T25" i="54" s="1"/>
  <c r="Y24" i="54"/>
  <c r="T24" i="54"/>
  <c r="S24" i="54"/>
  <c r="S23" i="54"/>
  <c r="Y23" i="54" s="1"/>
  <c r="Z23" i="54" s="1"/>
  <c r="S22" i="54"/>
  <c r="Y22" i="54" s="1"/>
  <c r="Z22" i="54" s="1"/>
  <c r="S21" i="54"/>
  <c r="Y21" i="54" s="1"/>
  <c r="Z21" i="54" s="1"/>
  <c r="S20" i="54"/>
  <c r="Y20" i="54" s="1"/>
  <c r="Z20" i="54" s="1"/>
  <c r="Y19" i="54"/>
  <c r="T19" i="54"/>
  <c r="S19" i="54"/>
  <c r="T18" i="54"/>
  <c r="S18" i="54"/>
  <c r="Y18" i="54" s="1"/>
  <c r="Z18" i="54" s="1"/>
  <c r="S17" i="54"/>
  <c r="Y17" i="54" s="1"/>
  <c r="Z17" i="54" s="1"/>
  <c r="Y16" i="54"/>
  <c r="S16" i="54"/>
  <c r="T16" i="54" s="1"/>
  <c r="S15" i="54"/>
  <c r="Y15" i="54" s="1"/>
  <c r="Z15" i="54" s="1"/>
  <c r="S14" i="54"/>
  <c r="Y14" i="54" s="1"/>
  <c r="Z14" i="54" s="1"/>
  <c r="S13" i="54"/>
  <c r="Y13" i="54" s="1"/>
  <c r="Z13" i="54" s="1"/>
  <c r="S12" i="54"/>
  <c r="T12" i="54" s="1"/>
  <c r="Y11" i="54"/>
  <c r="T11" i="54"/>
  <c r="S11" i="54"/>
  <c r="T10" i="54"/>
  <c r="S10" i="54"/>
  <c r="Y10" i="54" s="1"/>
  <c r="Z10" i="54" s="1"/>
  <c r="S9" i="54"/>
  <c r="T9" i="54" s="1"/>
  <c r="Y8" i="54"/>
  <c r="S8" i="54"/>
  <c r="T8" i="54" s="1"/>
  <c r="S7" i="54"/>
  <c r="Y7" i="54" s="1"/>
  <c r="Z7" i="54" s="1"/>
  <c r="S6" i="54"/>
  <c r="S30" i="54" s="1"/>
  <c r="Z8" i="54" l="1"/>
  <c r="Z16" i="54"/>
  <c r="T6" i="54"/>
  <c r="Z11" i="54"/>
  <c r="T14" i="54"/>
  <c r="Z19" i="54"/>
  <c r="T22" i="54"/>
  <c r="T17" i="54"/>
  <c r="T20" i="54"/>
  <c r="Y25" i="54"/>
  <c r="Z25" i="54" s="1"/>
  <c r="T28" i="54"/>
  <c r="T7" i="54"/>
  <c r="Y12" i="54"/>
  <c r="Z12" i="54" s="1"/>
  <c r="T15" i="54"/>
  <c r="T23" i="54"/>
  <c r="Y9" i="54"/>
  <c r="Z9" i="54" s="1"/>
  <c r="T13" i="54"/>
  <c r="T21" i="54"/>
  <c r="T29" i="54"/>
  <c r="Z24" i="54"/>
  <c r="Z27" i="54"/>
  <c r="Y6" i="54"/>
  <c r="Z6" i="54" s="1"/>
  <c r="Z30" i="54" s="1"/>
  <c r="D46" i="54"/>
  <c r="D50" i="54"/>
  <c r="D45" i="54"/>
  <c r="T30" i="54" l="1"/>
  <c r="Y30" i="54"/>
  <c r="C49" i="55"/>
  <c r="Y32" i="55"/>
  <c r="S31" i="55"/>
  <c r="T31" i="55" s="1"/>
  <c r="X30" i="55"/>
  <c r="W30" i="55"/>
  <c r="V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S29" i="55"/>
  <c r="S28" i="55"/>
  <c r="S27" i="55"/>
  <c r="S26" i="55"/>
  <c r="S25" i="55"/>
  <c r="T25" i="55" s="1"/>
  <c r="S24" i="55"/>
  <c r="T24" i="55" s="1"/>
  <c r="S23" i="55"/>
  <c r="T23" i="55" s="1"/>
  <c r="S22" i="55"/>
  <c r="T22" i="55" s="1"/>
  <c r="S21" i="55"/>
  <c r="S20" i="55"/>
  <c r="S19" i="55"/>
  <c r="S18" i="55"/>
  <c r="S17" i="55"/>
  <c r="T17" i="55" s="1"/>
  <c r="S16" i="55"/>
  <c r="T16" i="55" s="1"/>
  <c r="S15" i="55"/>
  <c r="T15" i="55" s="1"/>
  <c r="S14" i="55"/>
  <c r="T14" i="55" s="1"/>
  <c r="S13" i="55"/>
  <c r="S12" i="55"/>
  <c r="S11" i="55"/>
  <c r="S10" i="55"/>
  <c r="S9" i="55"/>
  <c r="T9" i="55" s="1"/>
  <c r="S8" i="55"/>
  <c r="T8" i="55" s="1"/>
  <c r="S7" i="55"/>
  <c r="T7" i="55" s="1"/>
  <c r="S6" i="55"/>
  <c r="S30" i="55" s="1"/>
  <c r="S31" i="43"/>
  <c r="Y31" i="43" s="1"/>
  <c r="Z31" i="43" s="1"/>
  <c r="X30" i="43"/>
  <c r="W30" i="43"/>
  <c r="V30" i="43"/>
  <c r="U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S29" i="43"/>
  <c r="Y29" i="43" s="1"/>
  <c r="Z29" i="43" s="1"/>
  <c r="S28" i="43"/>
  <c r="Y28" i="43" s="1"/>
  <c r="Z28" i="43" s="1"/>
  <c r="S27" i="43"/>
  <c r="Y27" i="43" s="1"/>
  <c r="Z27" i="43" s="1"/>
  <c r="S26" i="43"/>
  <c r="Y26" i="43" s="1"/>
  <c r="Z26" i="43" s="1"/>
  <c r="S25" i="43"/>
  <c r="Y25" i="43" s="1"/>
  <c r="Z25" i="43" s="1"/>
  <c r="S24" i="43"/>
  <c r="Y24" i="43" s="1"/>
  <c r="Z24" i="43" s="1"/>
  <c r="S23" i="43"/>
  <c r="Y23" i="43" s="1"/>
  <c r="Z23" i="43" s="1"/>
  <c r="S22" i="43"/>
  <c r="Y22" i="43" s="1"/>
  <c r="Z22" i="43" s="1"/>
  <c r="S21" i="43"/>
  <c r="Y21" i="43" s="1"/>
  <c r="Z21" i="43" s="1"/>
  <c r="S20" i="43"/>
  <c r="Y20" i="43" s="1"/>
  <c r="Z20" i="43" s="1"/>
  <c r="S19" i="43"/>
  <c r="Y19" i="43" s="1"/>
  <c r="Z19" i="43" s="1"/>
  <c r="S18" i="43"/>
  <c r="Y18" i="43" s="1"/>
  <c r="Z18" i="43" s="1"/>
  <c r="S17" i="43"/>
  <c r="Y17" i="43" s="1"/>
  <c r="Z17" i="43" s="1"/>
  <c r="T16" i="43"/>
  <c r="S16" i="43"/>
  <c r="Y16" i="43" s="1"/>
  <c r="Z16" i="43" s="1"/>
  <c r="T15" i="43"/>
  <c r="S15" i="43"/>
  <c r="Y15" i="43" s="1"/>
  <c r="Z15" i="43" s="1"/>
  <c r="S14" i="43"/>
  <c r="Y14" i="43" s="1"/>
  <c r="Z14" i="43" s="1"/>
  <c r="S13" i="43"/>
  <c r="Y13" i="43" s="1"/>
  <c r="Z13" i="43" s="1"/>
  <c r="T12" i="43"/>
  <c r="S12" i="43"/>
  <c r="Y12" i="43" s="1"/>
  <c r="Z12" i="43" s="1"/>
  <c r="T11" i="43"/>
  <c r="S11" i="43"/>
  <c r="Y11" i="43" s="1"/>
  <c r="Z11" i="43" s="1"/>
  <c r="S10" i="43"/>
  <c r="Y10" i="43" s="1"/>
  <c r="Z10" i="43" s="1"/>
  <c r="S9" i="43"/>
  <c r="Y9" i="43" s="1"/>
  <c r="Z9" i="43" s="1"/>
  <c r="T8" i="43"/>
  <c r="S8" i="43"/>
  <c r="Y8" i="43" s="1"/>
  <c r="Z8" i="43" s="1"/>
  <c r="S7" i="43"/>
  <c r="Y7" i="43" s="1"/>
  <c r="Z7" i="43" s="1"/>
  <c r="S6" i="43"/>
  <c r="Y6" i="43" s="1"/>
  <c r="T25" i="43" l="1"/>
  <c r="T14" i="43"/>
  <c r="T10" i="55"/>
  <c r="T26" i="55"/>
  <c r="T6" i="43"/>
  <c r="T19" i="43"/>
  <c r="T23" i="43"/>
  <c r="T27" i="43"/>
  <c r="T11" i="55"/>
  <c r="T19" i="55"/>
  <c r="T27" i="55"/>
  <c r="T21" i="43"/>
  <c r="T29" i="43"/>
  <c r="T9" i="43"/>
  <c r="T22" i="43"/>
  <c r="T26" i="43"/>
  <c r="T12" i="55"/>
  <c r="T20" i="55"/>
  <c r="T28" i="55"/>
  <c r="T13" i="43"/>
  <c r="T18" i="43"/>
  <c r="T10" i="43"/>
  <c r="T18" i="55"/>
  <c r="T20" i="43"/>
  <c r="T24" i="43"/>
  <c r="T28" i="43"/>
  <c r="T31" i="43"/>
  <c r="T13" i="55"/>
  <c r="T21" i="55"/>
  <c r="T29" i="55"/>
  <c r="T7" i="43"/>
  <c r="T17" i="43"/>
  <c r="Y6" i="55"/>
  <c r="Y7" i="55"/>
  <c r="Y8" i="55"/>
  <c r="Y9" i="55"/>
  <c r="Y10" i="55"/>
  <c r="Y11" i="55"/>
  <c r="Y12" i="55"/>
  <c r="Y13" i="55"/>
  <c r="Y14" i="55"/>
  <c r="Y15" i="55"/>
  <c r="Y16" i="55"/>
  <c r="Y17" i="55"/>
  <c r="Y18" i="55"/>
  <c r="Y19" i="55"/>
  <c r="Y20" i="55"/>
  <c r="Y21" i="55"/>
  <c r="Y22" i="55"/>
  <c r="Y23" i="55"/>
  <c r="Y24" i="55"/>
  <c r="Y25" i="55"/>
  <c r="Y26" i="55"/>
  <c r="Z26" i="55" s="1"/>
  <c r="Y27" i="55"/>
  <c r="Y28" i="55"/>
  <c r="Y29" i="55"/>
  <c r="Y31" i="55"/>
  <c r="Z31" i="55" s="1"/>
  <c r="T6" i="55"/>
  <c r="Y30" i="43"/>
  <c r="Z6" i="43"/>
  <c r="Z30" i="43" s="1"/>
  <c r="S30" i="43"/>
  <c r="T30" i="43" l="1"/>
  <c r="T30" i="55"/>
  <c r="Z6" i="55"/>
  <c r="Y30" i="55"/>
  <c r="Z18" i="55"/>
  <c r="Z27" i="55"/>
  <c r="Z23" i="55"/>
  <c r="Z19" i="55"/>
  <c r="Z15" i="55"/>
  <c r="Z11" i="55"/>
  <c r="Z7" i="55"/>
  <c r="Z28" i="55"/>
  <c r="Z24" i="55"/>
  <c r="Z20" i="55"/>
  <c r="Z16" i="55"/>
  <c r="Z12" i="55"/>
  <c r="Z8" i="55"/>
  <c r="Z22" i="55"/>
  <c r="Z14" i="55"/>
  <c r="Z10" i="55"/>
  <c r="Z29" i="55"/>
  <c r="Z25" i="55"/>
  <c r="Z21" i="55"/>
  <c r="Z17" i="55"/>
  <c r="Z13" i="55"/>
  <c r="Z9" i="55"/>
  <c r="Z30" i="55" l="1"/>
  <c r="Y32" i="35"/>
  <c r="S31" i="35"/>
  <c r="T24" i="35" s="1"/>
  <c r="X30" i="35"/>
  <c r="W30" i="35"/>
  <c r="V30" i="35"/>
  <c r="U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S29" i="35"/>
  <c r="Y29" i="35" s="1"/>
  <c r="S28" i="35"/>
  <c r="T28" i="35" s="1"/>
  <c r="Y27" i="35"/>
  <c r="S27" i="35"/>
  <c r="T27" i="35" s="1"/>
  <c r="S26" i="35"/>
  <c r="T26" i="35" s="1"/>
  <c r="S25" i="35"/>
  <c r="Y25" i="35" s="1"/>
  <c r="S24" i="35"/>
  <c r="Y24" i="35" s="1"/>
  <c r="S23" i="35"/>
  <c r="Y23" i="35" s="1"/>
  <c r="Y22" i="35"/>
  <c r="T22" i="35"/>
  <c r="S22" i="35"/>
  <c r="S21" i="35"/>
  <c r="Y21" i="35" s="1"/>
  <c r="S20" i="35"/>
  <c r="Y20" i="35" s="1"/>
  <c r="Y19" i="35"/>
  <c r="S19" i="35"/>
  <c r="T19" i="35" s="1"/>
  <c r="S18" i="35"/>
  <c r="T18" i="35" s="1"/>
  <c r="S17" i="35"/>
  <c r="T17" i="35" s="1"/>
  <c r="T16" i="35"/>
  <c r="S16" i="35"/>
  <c r="Y16" i="35" s="1"/>
  <c r="S15" i="35"/>
  <c r="Y15" i="35" s="1"/>
  <c r="S14" i="35"/>
  <c r="Y14" i="35" s="1"/>
  <c r="Y13" i="35"/>
  <c r="S13" i="35"/>
  <c r="T13" i="35" s="1"/>
  <c r="S12" i="35"/>
  <c r="T12" i="35" s="1"/>
  <c r="S11" i="35"/>
  <c r="Y11" i="35" s="1"/>
  <c r="Y10" i="35"/>
  <c r="S10" i="35"/>
  <c r="S9" i="35"/>
  <c r="Y9" i="35" s="1"/>
  <c r="Y8" i="35"/>
  <c r="T8" i="35"/>
  <c r="S8" i="35"/>
  <c r="S7" i="35"/>
  <c r="Y7" i="35" s="1"/>
  <c r="S6" i="35"/>
  <c r="T6" i="35" s="1"/>
  <c r="Z11" i="35" l="1"/>
  <c r="Z15" i="35"/>
  <c r="Z29" i="35"/>
  <c r="Z13" i="35"/>
  <c r="T25" i="35"/>
  <c r="Y6" i="35"/>
  <c r="Z6" i="35" s="1"/>
  <c r="T23" i="35"/>
  <c r="Y28" i="35"/>
  <c r="T31" i="35"/>
  <c r="T7" i="35"/>
  <c r="T30" i="35" s="1"/>
  <c r="Y12" i="35"/>
  <c r="T15" i="35"/>
  <c r="Y18" i="35"/>
  <c r="Z18" i="35" s="1"/>
  <c r="T21" i="35"/>
  <c r="Y26" i="35"/>
  <c r="T29" i="35"/>
  <c r="Y31" i="35"/>
  <c r="Z31" i="35" s="1"/>
  <c r="Z19" i="35"/>
  <c r="T11" i="35"/>
  <c r="T14" i="35"/>
  <c r="T20" i="35"/>
  <c r="T10" i="35"/>
  <c r="Y17" i="35"/>
  <c r="T9" i="35"/>
  <c r="Z10" i="35"/>
  <c r="S30" i="35"/>
  <c r="Z22" i="35" l="1"/>
  <c r="Z14" i="35"/>
  <c r="Z16" i="35"/>
  <c r="Z8" i="35"/>
  <c r="Z12" i="35"/>
  <c r="Z27" i="35"/>
  <c r="Z23" i="35"/>
  <c r="Z17" i="35"/>
  <c r="Z28" i="35"/>
  <c r="Z20" i="35"/>
  <c r="Z25" i="35"/>
  <c r="Z9" i="35"/>
  <c r="Z21" i="35"/>
  <c r="Y30" i="35"/>
  <c r="Z26" i="35"/>
  <c r="Z24" i="35"/>
  <c r="Z7" i="35"/>
  <c r="Z30" i="35" s="1"/>
  <c r="S10" i="28"/>
  <c r="S8" i="28"/>
  <c r="S7" i="28"/>
  <c r="S6" i="28"/>
  <c r="M57" i="60"/>
  <c r="F110" i="60" s="1"/>
  <c r="N57" i="60"/>
  <c r="O57" i="60"/>
  <c r="D110" i="60"/>
  <c r="I57" i="60"/>
  <c r="S21" i="59"/>
  <c r="S29" i="59"/>
  <c r="G57" i="60" s="1"/>
  <c r="S30" i="59"/>
  <c r="L57" i="60" s="1"/>
  <c r="S28" i="59"/>
  <c r="E57" i="60"/>
  <c r="D57" i="60"/>
  <c r="C57" i="60"/>
  <c r="B110" i="60" s="1"/>
  <c r="D31" i="59"/>
  <c r="E31" i="59"/>
  <c r="F31" i="59"/>
  <c r="G31" i="59"/>
  <c r="H31" i="59"/>
  <c r="I31" i="59"/>
  <c r="J31" i="59"/>
  <c r="K31" i="59"/>
  <c r="L31" i="59"/>
  <c r="M31" i="59"/>
  <c r="N31" i="59"/>
  <c r="O31" i="59"/>
  <c r="P31" i="59"/>
  <c r="Q31" i="59"/>
  <c r="R31" i="59"/>
  <c r="T31" i="59"/>
  <c r="U31" i="59"/>
  <c r="V31" i="59"/>
  <c r="W31" i="59"/>
  <c r="C31" i="59"/>
  <c r="S31" i="59" l="1"/>
  <c r="B57" i="60"/>
  <c r="B81" i="60"/>
  <c r="F81" i="60"/>
  <c r="D81" i="60"/>
  <c r="K57" i="60"/>
  <c r="P57" i="60"/>
  <c r="F57" i="60" l="1"/>
  <c r="Y32" i="44"/>
  <c r="S31" i="44"/>
  <c r="T31" i="44" s="1"/>
  <c r="X30" i="44"/>
  <c r="W30" i="44"/>
  <c r="V30" i="44"/>
  <c r="U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S29" i="44"/>
  <c r="T29" i="44" s="1"/>
  <c r="S28" i="44"/>
  <c r="T28" i="44" s="1"/>
  <c r="S27" i="44"/>
  <c r="T27" i="44" s="1"/>
  <c r="S26" i="44"/>
  <c r="T26" i="44" s="1"/>
  <c r="S25" i="44"/>
  <c r="T25" i="44" s="1"/>
  <c r="S24" i="44"/>
  <c r="T24" i="44" s="1"/>
  <c r="S23" i="44"/>
  <c r="T23" i="44" s="1"/>
  <c r="S22" i="44"/>
  <c r="T22" i="44" s="1"/>
  <c r="S21" i="44"/>
  <c r="T21" i="44" s="1"/>
  <c r="S20" i="44"/>
  <c r="T20" i="44" s="1"/>
  <c r="S19" i="44"/>
  <c r="T19" i="44" s="1"/>
  <c r="S18" i="44"/>
  <c r="T18" i="44" s="1"/>
  <c r="S17" i="44"/>
  <c r="T17" i="44" s="1"/>
  <c r="S16" i="44"/>
  <c r="T16" i="44" s="1"/>
  <c r="S15" i="44"/>
  <c r="T15" i="44" s="1"/>
  <c r="S14" i="44"/>
  <c r="T14" i="44" s="1"/>
  <c r="S13" i="44"/>
  <c r="T13" i="44" s="1"/>
  <c r="S12" i="44"/>
  <c r="T12" i="44" s="1"/>
  <c r="S11" i="44"/>
  <c r="T11" i="44" s="1"/>
  <c r="S10" i="44"/>
  <c r="T10" i="44" s="1"/>
  <c r="S9" i="44"/>
  <c r="T9" i="44" s="1"/>
  <c r="S8" i="44"/>
  <c r="T8" i="44" s="1"/>
  <c r="S7" i="44"/>
  <c r="T7" i="44" s="1"/>
  <c r="S6" i="44"/>
  <c r="T6" i="44" s="1"/>
  <c r="T30" i="44" l="1"/>
  <c r="Y6" i="44"/>
  <c r="Y7" i="44"/>
  <c r="Y8" i="44"/>
  <c r="Y9" i="44"/>
  <c r="Z9" i="44" s="1"/>
  <c r="Y10" i="44"/>
  <c r="Y11" i="44"/>
  <c r="Y12" i="44"/>
  <c r="Z12" i="44" s="1"/>
  <c r="Y13" i="44"/>
  <c r="Y14" i="44"/>
  <c r="Y15" i="44"/>
  <c r="Y16" i="44"/>
  <c r="Z16" i="44" s="1"/>
  <c r="Y17" i="44"/>
  <c r="Z17" i="44" s="1"/>
  <c r="Y18" i="44"/>
  <c r="Y19" i="44"/>
  <c r="Y20" i="44"/>
  <c r="Z20" i="44" s="1"/>
  <c r="Y21" i="44"/>
  <c r="Y22" i="44"/>
  <c r="Y23" i="44"/>
  <c r="Y24" i="44"/>
  <c r="Z24" i="44" s="1"/>
  <c r="Y25" i="44"/>
  <c r="Z25" i="44" s="1"/>
  <c r="Y26" i="44"/>
  <c r="Y27" i="44"/>
  <c r="Y28" i="44"/>
  <c r="Z28" i="44" s="1"/>
  <c r="Y29" i="44"/>
  <c r="Y31" i="44"/>
  <c r="Z31" i="44" s="1"/>
  <c r="S30" i="44"/>
  <c r="Z29" i="44" l="1"/>
  <c r="Z21" i="44"/>
  <c r="Z13" i="44"/>
  <c r="Z6" i="44"/>
  <c r="Y30" i="44"/>
  <c r="Z26" i="44"/>
  <c r="Z22" i="44"/>
  <c r="Z18" i="44"/>
  <c r="Z14" i="44"/>
  <c r="Z10" i="44"/>
  <c r="Z27" i="44"/>
  <c r="Z23" i="44"/>
  <c r="Z19" i="44"/>
  <c r="Z15" i="44"/>
  <c r="Z11" i="44"/>
  <c r="Z7" i="44"/>
  <c r="Z8" i="44"/>
  <c r="Z30" i="44" l="1"/>
  <c r="X59" i="45"/>
  <c r="Y32" i="45"/>
  <c r="S31" i="45"/>
  <c r="T31" i="45" s="1"/>
  <c r="X30" i="45"/>
  <c r="W30" i="45"/>
  <c r="V30" i="45"/>
  <c r="U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S29" i="45"/>
  <c r="S28" i="45"/>
  <c r="S27" i="45"/>
  <c r="S26" i="45"/>
  <c r="T26" i="45" s="1"/>
  <c r="S25" i="45"/>
  <c r="T25" i="45" s="1"/>
  <c r="S24" i="45"/>
  <c r="T24" i="45" s="1"/>
  <c r="S23" i="45"/>
  <c r="S22" i="45"/>
  <c r="S21" i="45"/>
  <c r="S20" i="45"/>
  <c r="S19" i="45"/>
  <c r="S18" i="45"/>
  <c r="T18" i="45" s="1"/>
  <c r="S17" i="45"/>
  <c r="T17" i="45" s="1"/>
  <c r="S16" i="45"/>
  <c r="T16" i="45" s="1"/>
  <c r="S15" i="45"/>
  <c r="S14" i="45"/>
  <c r="S13" i="45"/>
  <c r="S12" i="45"/>
  <c r="S11" i="45"/>
  <c r="S10" i="45"/>
  <c r="T10" i="45" s="1"/>
  <c r="S9" i="45"/>
  <c r="T9" i="45" s="1"/>
  <c r="S8" i="45"/>
  <c r="T8" i="45" s="1"/>
  <c r="S7" i="45"/>
  <c r="S6" i="45"/>
  <c r="T19" i="45" l="1"/>
  <c r="Y31" i="45"/>
  <c r="Z31" i="45" s="1"/>
  <c r="T28" i="45"/>
  <c r="T13" i="45"/>
  <c r="T21" i="45"/>
  <c r="T29" i="45"/>
  <c r="T27" i="45"/>
  <c r="T12" i="45"/>
  <c r="S30" i="45"/>
  <c r="T14" i="45"/>
  <c r="T22" i="45"/>
  <c r="T11" i="45"/>
  <c r="T20" i="45"/>
  <c r="T7" i="45"/>
  <c r="T15" i="45"/>
  <c r="T23" i="45"/>
  <c r="Y6" i="45"/>
  <c r="Y7" i="45"/>
  <c r="Z7" i="45" s="1"/>
  <c r="Y8" i="45"/>
  <c r="Z8" i="45" s="1"/>
  <c r="Y9" i="45"/>
  <c r="Z9" i="45" s="1"/>
  <c r="Y10" i="45"/>
  <c r="Z10" i="45" s="1"/>
  <c r="Y11" i="45"/>
  <c r="Z11" i="45" s="1"/>
  <c r="Y12" i="45"/>
  <c r="Z12" i="45" s="1"/>
  <c r="Y13" i="45"/>
  <c r="Z13" i="45" s="1"/>
  <c r="Y14" i="45"/>
  <c r="Z14" i="45" s="1"/>
  <c r="Y15" i="45"/>
  <c r="Z15" i="45" s="1"/>
  <c r="Y16" i="45"/>
  <c r="Z16" i="45" s="1"/>
  <c r="Y17" i="45"/>
  <c r="Z17" i="45" s="1"/>
  <c r="Y18" i="45"/>
  <c r="Z18" i="45" s="1"/>
  <c r="Y19" i="45"/>
  <c r="Z19" i="45" s="1"/>
  <c r="Y20" i="45"/>
  <c r="Z20" i="45" s="1"/>
  <c r="Y21" i="45"/>
  <c r="Z21" i="45" s="1"/>
  <c r="Y22" i="45"/>
  <c r="Z22" i="45" s="1"/>
  <c r="Y23" i="45"/>
  <c r="Z23" i="45" s="1"/>
  <c r="Y24" i="45"/>
  <c r="Z24" i="45" s="1"/>
  <c r="Y25" i="45"/>
  <c r="Z25" i="45" s="1"/>
  <c r="Y26" i="45"/>
  <c r="Z26" i="45" s="1"/>
  <c r="Y27" i="45"/>
  <c r="Z27" i="45" s="1"/>
  <c r="Y28" i="45"/>
  <c r="Z28" i="45" s="1"/>
  <c r="Y29" i="45"/>
  <c r="Z29" i="45" s="1"/>
  <c r="T6" i="45"/>
  <c r="T30" i="45" l="1"/>
  <c r="Y30" i="45"/>
  <c r="Z6" i="45"/>
  <c r="Z30" i="45" s="1"/>
  <c r="X62" i="38" l="1"/>
  <c r="Y32" i="38"/>
  <c r="T31" i="38"/>
  <c r="S31" i="38"/>
  <c r="Y31" i="38" s="1"/>
  <c r="Z31" i="38" s="1"/>
  <c r="X30" i="38"/>
  <c r="W30" i="38"/>
  <c r="V30" i="38"/>
  <c r="U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S29" i="38"/>
  <c r="Y29" i="38" s="1"/>
  <c r="T28" i="38"/>
  <c r="S28" i="38"/>
  <c r="Y28" i="38" s="1"/>
  <c r="Z28" i="38" s="1"/>
  <c r="S27" i="38"/>
  <c r="Y27" i="38" s="1"/>
  <c r="S26" i="38"/>
  <c r="Y26" i="38" s="1"/>
  <c r="Z26" i="38" s="1"/>
  <c r="S25" i="38"/>
  <c r="Y25" i="38" s="1"/>
  <c r="T24" i="38"/>
  <c r="S24" i="38"/>
  <c r="Y24" i="38" s="1"/>
  <c r="Z24" i="38" s="1"/>
  <c r="S23" i="38"/>
  <c r="Y23" i="38" s="1"/>
  <c r="S22" i="38"/>
  <c r="Y22" i="38" s="1"/>
  <c r="Z22" i="38" s="1"/>
  <c r="S21" i="38"/>
  <c r="Y21" i="38" s="1"/>
  <c r="T20" i="38"/>
  <c r="S20" i="38"/>
  <c r="Y20" i="38" s="1"/>
  <c r="Z20" i="38" s="1"/>
  <c r="S19" i="38"/>
  <c r="Y19" i="38" s="1"/>
  <c r="S18" i="38"/>
  <c r="Y18" i="38" s="1"/>
  <c r="Z18" i="38" s="1"/>
  <c r="S17" i="38"/>
  <c r="Y17" i="38" s="1"/>
  <c r="S16" i="38"/>
  <c r="Y16" i="38" s="1"/>
  <c r="Z16" i="38" s="1"/>
  <c r="S15" i="38"/>
  <c r="Y15" i="38" s="1"/>
  <c r="S14" i="38"/>
  <c r="Y14" i="38" s="1"/>
  <c r="Z14" i="38" s="1"/>
  <c r="S13" i="38"/>
  <c r="Y13" i="38" s="1"/>
  <c r="S12" i="38"/>
  <c r="Y12" i="38" s="1"/>
  <c r="Z12" i="38" s="1"/>
  <c r="S11" i="38"/>
  <c r="Y11" i="38" s="1"/>
  <c r="S10" i="38"/>
  <c r="Y10" i="38" s="1"/>
  <c r="Z10" i="38" s="1"/>
  <c r="S9" i="38"/>
  <c r="Y9" i="38" s="1"/>
  <c r="S8" i="38"/>
  <c r="Y8" i="38" s="1"/>
  <c r="Z8" i="38" s="1"/>
  <c r="S7" i="38"/>
  <c r="Y7" i="38" s="1"/>
  <c r="S6" i="38"/>
  <c r="Y6" i="38" s="1"/>
  <c r="T14" i="38" l="1"/>
  <c r="T22" i="38"/>
  <c r="T15" i="38"/>
  <c r="T19" i="38"/>
  <c r="T23" i="38"/>
  <c r="T27" i="38"/>
  <c r="T10" i="38"/>
  <c r="T18" i="38"/>
  <c r="T26" i="38"/>
  <c r="T7" i="38"/>
  <c r="T12" i="38"/>
  <c r="T16" i="38"/>
  <c r="T6" i="38"/>
  <c r="T11" i="38"/>
  <c r="T8" i="38"/>
  <c r="T9" i="38"/>
  <c r="T13" i="38"/>
  <c r="T17" i="38"/>
  <c r="T21" i="38"/>
  <c r="T25" i="38"/>
  <c r="T29" i="38"/>
  <c r="Y30" i="38"/>
  <c r="Z6" i="38"/>
  <c r="Z7" i="38"/>
  <c r="Z9" i="38"/>
  <c r="Z11" i="38"/>
  <c r="Z13" i="38"/>
  <c r="Z15" i="38"/>
  <c r="Z17" i="38"/>
  <c r="Z19" i="38"/>
  <c r="Z21" i="38"/>
  <c r="Z23" i="38"/>
  <c r="Z25" i="38"/>
  <c r="Z27" i="38"/>
  <c r="Z29" i="38"/>
  <c r="S30" i="38"/>
  <c r="T30" i="38" l="1"/>
  <c r="Z30" i="38"/>
  <c r="X67" i="37" l="1"/>
  <c r="U18" i="37" s="1"/>
  <c r="Y32" i="37"/>
  <c r="S31" i="37"/>
  <c r="Y31" i="37" s="1"/>
  <c r="X30" i="37"/>
  <c r="W30" i="37"/>
  <c r="V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T29" i="37"/>
  <c r="S29" i="37"/>
  <c r="Y29" i="37" s="1"/>
  <c r="S28" i="37"/>
  <c r="Y28" i="37" s="1"/>
  <c r="U27" i="37"/>
  <c r="S27" i="37"/>
  <c r="T27" i="37" s="1"/>
  <c r="Y26" i="37"/>
  <c r="T26" i="37"/>
  <c r="S26" i="37"/>
  <c r="S25" i="37"/>
  <c r="Y25" i="37" s="1"/>
  <c r="S24" i="37"/>
  <c r="Y24" i="37" s="1"/>
  <c r="Y23" i="37"/>
  <c r="Z23" i="37" s="1"/>
  <c r="S23" i="37"/>
  <c r="S22" i="37"/>
  <c r="Y22" i="37" s="1"/>
  <c r="S21" i="37"/>
  <c r="T21" i="37" s="1"/>
  <c r="Y20" i="37"/>
  <c r="S20" i="37"/>
  <c r="T20" i="37" s="1"/>
  <c r="S19" i="37"/>
  <c r="T19" i="37" s="1"/>
  <c r="S18" i="37"/>
  <c r="Y17" i="37"/>
  <c r="S17" i="37"/>
  <c r="S16" i="37"/>
  <c r="Y16" i="37" s="1"/>
  <c r="S15" i="37"/>
  <c r="Y15" i="37" s="1"/>
  <c r="S14" i="37"/>
  <c r="T14" i="37" s="1"/>
  <c r="Y13" i="37"/>
  <c r="S13" i="37"/>
  <c r="T13" i="37" s="1"/>
  <c r="S12" i="37"/>
  <c r="S11" i="37"/>
  <c r="T11" i="37" s="1"/>
  <c r="S10" i="37"/>
  <c r="T10" i="37" s="1"/>
  <c r="Y9" i="37"/>
  <c r="S9" i="37"/>
  <c r="T9" i="37" s="1"/>
  <c r="S8" i="37"/>
  <c r="T8" i="37" s="1"/>
  <c r="S7" i="37"/>
  <c r="T7" i="37" s="1"/>
  <c r="S6" i="37"/>
  <c r="T6" i="37" s="1"/>
  <c r="Y21" i="37" l="1"/>
  <c r="T24" i="37"/>
  <c r="Y7" i="37"/>
  <c r="Y11" i="37"/>
  <c r="Y19" i="37"/>
  <c r="Z19" i="37" s="1"/>
  <c r="T22" i="37"/>
  <c r="Y27" i="37"/>
  <c r="Z27" i="37" s="1"/>
  <c r="T12" i="37"/>
  <c r="T25" i="37"/>
  <c r="T31" i="37"/>
  <c r="Y6" i="37"/>
  <c r="Y10" i="37"/>
  <c r="Z10" i="37" s="1"/>
  <c r="Y14" i="37"/>
  <c r="Z14" i="37" s="1"/>
  <c r="Y8" i="37"/>
  <c r="Z8" i="37" s="1"/>
  <c r="Y12" i="37"/>
  <c r="Z12" i="37" s="1"/>
  <c r="T28" i="37"/>
  <c r="T23" i="37"/>
  <c r="Z17" i="37"/>
  <c r="Z15" i="37"/>
  <c r="Z13" i="37"/>
  <c r="Z11" i="37"/>
  <c r="Z9" i="37"/>
  <c r="Z7" i="37"/>
  <c r="Z31" i="37"/>
  <c r="Z16" i="37"/>
  <c r="Z6" i="37"/>
  <c r="U30" i="37"/>
  <c r="Y18" i="37"/>
  <c r="Z18" i="37" s="1"/>
  <c r="Z20" i="37"/>
  <c r="Z24" i="37"/>
  <c r="Z29" i="37"/>
  <c r="Z21" i="37"/>
  <c r="Z25" i="37"/>
  <c r="Z22" i="37"/>
  <c r="Z26" i="37"/>
  <c r="Z28" i="37"/>
  <c r="S30" i="37"/>
  <c r="T15" i="37"/>
  <c r="T16" i="37"/>
  <c r="T17" i="37"/>
  <c r="T18" i="37"/>
  <c r="T30" i="37" l="1"/>
  <c r="Y30" i="37"/>
  <c r="Z30" i="37"/>
  <c r="V5" i="59" l="1"/>
  <c r="U5" i="59"/>
  <c r="U4" i="59"/>
  <c r="U34" i="59" s="1"/>
  <c r="V4" i="59"/>
  <c r="V34" i="59" s="1"/>
  <c r="Y32" i="28"/>
  <c r="S31" i="28"/>
  <c r="X30" i="28"/>
  <c r="W30" i="28"/>
  <c r="V30" i="28"/>
  <c r="U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S29" i="28"/>
  <c r="S28" i="28"/>
  <c r="S27" i="28"/>
  <c r="S26" i="28"/>
  <c r="T26" i="28" s="1"/>
  <c r="S25" i="28"/>
  <c r="S24" i="28"/>
  <c r="S23" i="28"/>
  <c r="S22" i="28"/>
  <c r="S21" i="28"/>
  <c r="S20" i="28"/>
  <c r="S19" i="28"/>
  <c r="S18" i="28"/>
  <c r="T18" i="28" s="1"/>
  <c r="S17" i="28"/>
  <c r="S16" i="28"/>
  <c r="S15" i="28"/>
  <c r="S14" i="28"/>
  <c r="S13" i="28"/>
  <c r="S12" i="28"/>
  <c r="S11" i="28"/>
  <c r="T10" i="28"/>
  <c r="S9" i="28"/>
  <c r="T14" i="28" l="1"/>
  <c r="T22" i="28"/>
  <c r="T31" i="28"/>
  <c r="S32" i="63"/>
  <c r="S37" i="63" s="1"/>
  <c r="S30" i="28"/>
  <c r="T13" i="28"/>
  <c r="T21" i="28"/>
  <c r="T29" i="28"/>
  <c r="T8" i="28"/>
  <c r="T16" i="28"/>
  <c r="T7" i="28"/>
  <c r="T11" i="28"/>
  <c r="T15" i="28"/>
  <c r="T19" i="28"/>
  <c r="T23" i="28"/>
  <c r="T27" i="28"/>
  <c r="T9" i="28"/>
  <c r="T17" i="28"/>
  <c r="T25" i="28"/>
  <c r="T12" i="28"/>
  <c r="T20" i="28"/>
  <c r="T24" i="28"/>
  <c r="T28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20" i="28"/>
  <c r="Y21" i="28"/>
  <c r="Y22" i="28"/>
  <c r="Y23" i="28"/>
  <c r="Y24" i="28"/>
  <c r="Y25" i="28"/>
  <c r="Y26" i="28"/>
  <c r="Y27" i="28"/>
  <c r="Y28" i="28"/>
  <c r="Y29" i="28"/>
  <c r="Y31" i="28"/>
  <c r="T6" i="28"/>
  <c r="Z31" i="28" l="1"/>
  <c r="Y32" i="63"/>
  <c r="Y37" i="63" s="1"/>
  <c r="Z29" i="28"/>
  <c r="Z25" i="28"/>
  <c r="Z21" i="28"/>
  <c r="Z17" i="28"/>
  <c r="Z13" i="28"/>
  <c r="Z9" i="28"/>
  <c r="Z32" i="28"/>
  <c r="T30" i="28"/>
  <c r="Z27" i="28"/>
  <c r="Z23" i="28"/>
  <c r="Z19" i="28"/>
  <c r="Z15" i="28"/>
  <c r="Z11" i="28"/>
  <c r="Z7" i="28"/>
  <c r="Z6" i="28"/>
  <c r="Y30" i="28"/>
  <c r="Z26" i="28"/>
  <c r="Z22" i="28"/>
  <c r="Z18" i="28"/>
  <c r="Z14" i="28"/>
  <c r="Z10" i="28"/>
  <c r="Z28" i="28"/>
  <c r="Z24" i="28"/>
  <c r="Z20" i="28"/>
  <c r="Z16" i="28"/>
  <c r="Z12" i="28"/>
  <c r="Z8" i="28"/>
  <c r="Z30" i="28" l="1"/>
  <c r="Y32" i="11" l="1"/>
  <c r="T31" i="11"/>
  <c r="S31" i="11"/>
  <c r="X30" i="11"/>
  <c r="W30" i="11"/>
  <c r="V30" i="11"/>
  <c r="U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T29" i="11"/>
  <c r="S29" i="11"/>
  <c r="Y29" i="11" s="1"/>
  <c r="T28" i="11"/>
  <c r="S28" i="11"/>
  <c r="Y28" i="11" s="1"/>
  <c r="T27" i="11"/>
  <c r="S27" i="11"/>
  <c r="Y27" i="11" s="1"/>
  <c r="S26" i="11"/>
  <c r="Y26" i="11" s="1"/>
  <c r="T25" i="11"/>
  <c r="S25" i="11"/>
  <c r="Y25" i="11" s="1"/>
  <c r="T24" i="11"/>
  <c r="S24" i="11"/>
  <c r="Y24" i="11" s="1"/>
  <c r="T23" i="11"/>
  <c r="S23" i="11"/>
  <c r="Y23" i="11" s="1"/>
  <c r="S22" i="11"/>
  <c r="Y22" i="11" s="1"/>
  <c r="T21" i="11"/>
  <c r="S21" i="11"/>
  <c r="Y21" i="11" s="1"/>
  <c r="T20" i="11"/>
  <c r="S20" i="11"/>
  <c r="Y20" i="11" s="1"/>
  <c r="T19" i="11"/>
  <c r="S19" i="11"/>
  <c r="Y19" i="11" s="1"/>
  <c r="S18" i="11"/>
  <c r="Y18" i="11" s="1"/>
  <c r="T17" i="11"/>
  <c r="S17" i="11"/>
  <c r="Y17" i="11" s="1"/>
  <c r="T16" i="11"/>
  <c r="S16" i="11"/>
  <c r="Y16" i="11" s="1"/>
  <c r="T15" i="11"/>
  <c r="S15" i="11"/>
  <c r="Y15" i="11" s="1"/>
  <c r="S14" i="11"/>
  <c r="Y14" i="11" s="1"/>
  <c r="T13" i="11"/>
  <c r="S13" i="11"/>
  <c r="Y13" i="11" s="1"/>
  <c r="T12" i="11"/>
  <c r="S12" i="11"/>
  <c r="Y12" i="11" s="1"/>
  <c r="T11" i="11"/>
  <c r="S11" i="11"/>
  <c r="Y11" i="11" s="1"/>
  <c r="S10" i="11"/>
  <c r="Y10" i="11" s="1"/>
  <c r="T9" i="11"/>
  <c r="S9" i="11"/>
  <c r="Y9" i="11" s="1"/>
  <c r="S8" i="11"/>
  <c r="Y8" i="11" s="1"/>
  <c r="T7" i="11"/>
  <c r="S7" i="11"/>
  <c r="Y7" i="11" s="1"/>
  <c r="S6" i="11"/>
  <c r="Y6" i="11" s="1"/>
  <c r="T6" i="11" l="1"/>
  <c r="T10" i="11"/>
  <c r="T14" i="11"/>
  <c r="T18" i="11"/>
  <c r="T22" i="11"/>
  <c r="T26" i="11"/>
  <c r="Y31" i="11"/>
  <c r="Z16" i="11" s="1"/>
  <c r="S14" i="63"/>
  <c r="S17" i="63" s="1"/>
  <c r="T8" i="11"/>
  <c r="Z29" i="11"/>
  <c r="Y30" i="11"/>
  <c r="S30" i="11"/>
  <c r="Z9" i="11" l="1"/>
  <c r="Z22" i="11"/>
  <c r="T30" i="11"/>
  <c r="Z31" i="11"/>
  <c r="Y14" i="63"/>
  <c r="Y17" i="63" s="1"/>
  <c r="Z11" i="11"/>
  <c r="Z25" i="11"/>
  <c r="Z7" i="11"/>
  <c r="Z19" i="11"/>
  <c r="Z12" i="11"/>
  <c r="Z6" i="11"/>
  <c r="Z17" i="11"/>
  <c r="Z18" i="11"/>
  <c r="Z8" i="11"/>
  <c r="Z26" i="11"/>
  <c r="Z13" i="11"/>
  <c r="Z27" i="11"/>
  <c r="Z28" i="11"/>
  <c r="Z24" i="11"/>
  <c r="Z23" i="11"/>
  <c r="Z20" i="11"/>
  <c r="Z21" i="11"/>
  <c r="Z15" i="11"/>
  <c r="Z14" i="11"/>
  <c r="Z10" i="11"/>
  <c r="X4" i="59"/>
  <c r="X34" i="59" s="1"/>
  <c r="X5" i="59"/>
  <c r="X7" i="59"/>
  <c r="X8" i="59"/>
  <c r="X9" i="59"/>
  <c r="X10" i="59"/>
  <c r="X12" i="59"/>
  <c r="X13" i="59"/>
  <c r="Z30" i="11" l="1"/>
  <c r="X14" i="59"/>
  <c r="X36" i="59" s="1"/>
  <c r="Y32" i="19" l="1"/>
  <c r="S31" i="19"/>
  <c r="T31" i="19" s="1"/>
  <c r="X30" i="19"/>
  <c r="W30" i="19"/>
  <c r="V30" i="19"/>
  <c r="R30" i="19"/>
  <c r="Q30" i="19"/>
  <c r="P30" i="19"/>
  <c r="O30" i="19"/>
  <c r="M30" i="19"/>
  <c r="L30" i="19"/>
  <c r="K30" i="19"/>
  <c r="I30" i="19"/>
  <c r="G30" i="19"/>
  <c r="E30" i="19"/>
  <c r="D30" i="19"/>
  <c r="C30" i="19"/>
  <c r="S29" i="19"/>
  <c r="T29" i="19" s="1"/>
  <c r="S28" i="19"/>
  <c r="T28" i="19" s="1"/>
  <c r="S27" i="19"/>
  <c r="Y26" i="19"/>
  <c r="S26" i="19"/>
  <c r="S25" i="19"/>
  <c r="T25" i="19" s="1"/>
  <c r="S24" i="19"/>
  <c r="T24" i="19" s="1"/>
  <c r="S23" i="19"/>
  <c r="T23" i="19" s="1"/>
  <c r="Y22" i="19"/>
  <c r="T22" i="19"/>
  <c r="S22" i="19"/>
  <c r="S21" i="19"/>
  <c r="Y21" i="19" s="1"/>
  <c r="S20" i="19"/>
  <c r="T20" i="19" s="1"/>
  <c r="S19" i="19"/>
  <c r="T19" i="19" s="1"/>
  <c r="S18" i="19"/>
  <c r="T18" i="19" s="1"/>
  <c r="S16" i="19"/>
  <c r="T16" i="19" s="1"/>
  <c r="S15" i="19"/>
  <c r="T15" i="19" s="1"/>
  <c r="S14" i="19"/>
  <c r="T14" i="19" s="1"/>
  <c r="S13" i="19"/>
  <c r="T13" i="19" s="1"/>
  <c r="S12" i="19"/>
  <c r="T12" i="19" s="1"/>
  <c r="S11" i="19"/>
  <c r="T11" i="19" s="1"/>
  <c r="S10" i="19"/>
  <c r="T10" i="19" s="1"/>
  <c r="S9" i="19"/>
  <c r="T9" i="19" s="1"/>
  <c r="Y27" i="19" l="1"/>
  <c r="Y28" i="19"/>
  <c r="Y19" i="19"/>
  <c r="T21" i="19"/>
  <c r="Y25" i="19"/>
  <c r="Z25" i="19" s="1"/>
  <c r="Y20" i="19"/>
  <c r="Y18" i="19"/>
  <c r="U30" i="19"/>
  <c r="S7" i="19"/>
  <c r="H30" i="19"/>
  <c r="Z26" i="19"/>
  <c r="T26" i="19"/>
  <c r="T27" i="19"/>
  <c r="J30" i="19"/>
  <c r="Y9" i="19"/>
  <c r="Z9" i="19" s="1"/>
  <c r="Y11" i="19"/>
  <c r="Y12" i="19"/>
  <c r="Y13" i="19"/>
  <c r="Y14" i="19"/>
  <c r="Z14" i="19" s="1"/>
  <c r="Y15" i="19"/>
  <c r="Y16" i="19"/>
  <c r="Z16" i="19" s="1"/>
  <c r="Y23" i="19"/>
  <c r="Z23" i="19" s="1"/>
  <c r="Y29" i="19"/>
  <c r="Z29" i="19" s="1"/>
  <c r="Y31" i="19"/>
  <c r="X6" i="59" s="1"/>
  <c r="X11" i="59" s="1"/>
  <c r="Y24" i="19"/>
  <c r="Y10" i="19"/>
  <c r="D13" i="59"/>
  <c r="E13" i="59"/>
  <c r="F13" i="59"/>
  <c r="G13" i="59"/>
  <c r="H13" i="59"/>
  <c r="I13" i="59"/>
  <c r="J13" i="59"/>
  <c r="K13" i="59"/>
  <c r="L13" i="59"/>
  <c r="M13" i="59"/>
  <c r="N13" i="59"/>
  <c r="O13" i="59"/>
  <c r="P13" i="59"/>
  <c r="Q13" i="59"/>
  <c r="R13" i="59"/>
  <c r="S13" i="59"/>
  <c r="T13" i="59"/>
  <c r="U13" i="59"/>
  <c r="V13" i="59"/>
  <c r="W13" i="59"/>
  <c r="C13" i="59"/>
  <c r="D12" i="59"/>
  <c r="E12" i="59"/>
  <c r="F12" i="59"/>
  <c r="G12" i="59"/>
  <c r="H12" i="59"/>
  <c r="I12" i="59"/>
  <c r="J12" i="59"/>
  <c r="K12" i="59"/>
  <c r="L12" i="59"/>
  <c r="M12" i="59"/>
  <c r="N12" i="59"/>
  <c r="O12" i="59"/>
  <c r="P12" i="59"/>
  <c r="Q12" i="59"/>
  <c r="R12" i="59"/>
  <c r="S12" i="59"/>
  <c r="T12" i="59"/>
  <c r="U12" i="59"/>
  <c r="V12" i="59"/>
  <c r="W12" i="59"/>
  <c r="C12" i="59"/>
  <c r="D10" i="59"/>
  <c r="E10" i="59"/>
  <c r="F10" i="59"/>
  <c r="G10" i="59"/>
  <c r="H10" i="59"/>
  <c r="I10" i="59"/>
  <c r="J10" i="59"/>
  <c r="K10" i="59"/>
  <c r="L10" i="59"/>
  <c r="M10" i="59"/>
  <c r="N10" i="59"/>
  <c r="O10" i="59"/>
  <c r="P10" i="59"/>
  <c r="Q10" i="59"/>
  <c r="R10" i="59"/>
  <c r="S10" i="59"/>
  <c r="T10" i="59"/>
  <c r="U10" i="59"/>
  <c r="V10" i="59"/>
  <c r="W10" i="59"/>
  <c r="C10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C9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C8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C7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C6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W5" i="59"/>
  <c r="C5" i="59"/>
  <c r="W4" i="59"/>
  <c r="W34" i="59" s="1"/>
  <c r="T4" i="59"/>
  <c r="T34" i="59" s="1"/>
  <c r="S4" i="59"/>
  <c r="S34" i="59" s="1"/>
  <c r="E4" i="59"/>
  <c r="E34" i="59" s="1"/>
  <c r="F4" i="59"/>
  <c r="F34" i="59" s="1"/>
  <c r="G4" i="59"/>
  <c r="G34" i="59" s="1"/>
  <c r="H4" i="59"/>
  <c r="H34" i="59" s="1"/>
  <c r="I4" i="59"/>
  <c r="I34" i="59" s="1"/>
  <c r="J4" i="59"/>
  <c r="J34" i="59" s="1"/>
  <c r="K4" i="59"/>
  <c r="K34" i="59" s="1"/>
  <c r="L4" i="59"/>
  <c r="L34" i="59" s="1"/>
  <c r="M4" i="59"/>
  <c r="M34" i="59" s="1"/>
  <c r="N4" i="59"/>
  <c r="N34" i="59" s="1"/>
  <c r="O4" i="59"/>
  <c r="O34" i="59" s="1"/>
  <c r="P4" i="59"/>
  <c r="P34" i="59" s="1"/>
  <c r="Q4" i="59"/>
  <c r="Q34" i="59" s="1"/>
  <c r="R4" i="59"/>
  <c r="R34" i="59" s="1"/>
  <c r="D4" i="59"/>
  <c r="D34" i="59" s="1"/>
  <c r="C4" i="59"/>
  <c r="C34" i="59" s="1"/>
  <c r="Z10" i="19" l="1"/>
  <c r="Z13" i="19"/>
  <c r="Z28" i="19"/>
  <c r="Z24" i="19"/>
  <c r="Z12" i="19"/>
  <c r="Z21" i="19"/>
  <c r="F30" i="19"/>
  <c r="X16" i="59"/>
  <c r="X23" i="59" s="1"/>
  <c r="X35" i="59"/>
  <c r="Z19" i="19"/>
  <c r="M11" i="59"/>
  <c r="M35" i="59" s="1"/>
  <c r="U14" i="59"/>
  <c r="U36" i="59" s="1"/>
  <c r="Q14" i="59"/>
  <c r="Q36" i="59" s="1"/>
  <c r="M14" i="59"/>
  <c r="M36" i="59" s="1"/>
  <c r="I14" i="59"/>
  <c r="I36" i="59" s="1"/>
  <c r="E14" i="59"/>
  <c r="E36" i="59" s="1"/>
  <c r="N30" i="19"/>
  <c r="S6" i="19"/>
  <c r="S8" i="19"/>
  <c r="G10" i="61" s="1"/>
  <c r="S17" i="19"/>
  <c r="V11" i="59"/>
  <c r="V35" i="59" s="1"/>
  <c r="R14" i="59"/>
  <c r="R36" i="59" s="1"/>
  <c r="N14" i="59"/>
  <c r="N36" i="59" s="1"/>
  <c r="J14" i="59"/>
  <c r="J36" i="59" s="1"/>
  <c r="F14" i="59"/>
  <c r="F36" i="59" s="1"/>
  <c r="C14" i="59"/>
  <c r="C36" i="59" s="1"/>
  <c r="T14" i="59"/>
  <c r="T36" i="59" s="1"/>
  <c r="W11" i="59"/>
  <c r="P11" i="59"/>
  <c r="P35" i="59" s="1"/>
  <c r="L11" i="59"/>
  <c r="L35" i="59" s="1"/>
  <c r="H11" i="59"/>
  <c r="H35" i="59" s="1"/>
  <c r="D11" i="59"/>
  <c r="D35" i="59" s="1"/>
  <c r="W14" i="59"/>
  <c r="W36" i="59" s="1"/>
  <c r="P14" i="59"/>
  <c r="P36" i="59" s="1"/>
  <c r="L14" i="59"/>
  <c r="L36" i="59" s="1"/>
  <c r="H14" i="59"/>
  <c r="H36" i="59" s="1"/>
  <c r="D14" i="59"/>
  <c r="D36" i="59" s="1"/>
  <c r="V14" i="59"/>
  <c r="V36" i="59" s="1"/>
  <c r="S14" i="59"/>
  <c r="S36" i="59" s="1"/>
  <c r="O14" i="59"/>
  <c r="O36" i="59" s="1"/>
  <c r="K14" i="59"/>
  <c r="K36" i="59" s="1"/>
  <c r="G14" i="59"/>
  <c r="G36" i="59" s="1"/>
  <c r="S11" i="59"/>
  <c r="S35" i="59" s="1"/>
  <c r="O11" i="59"/>
  <c r="O35" i="59" s="1"/>
  <c r="K11" i="59"/>
  <c r="K35" i="59" s="1"/>
  <c r="G11" i="59"/>
  <c r="Z18" i="19"/>
  <c r="Z31" i="19"/>
  <c r="C11" i="59"/>
  <c r="C35" i="59" s="1"/>
  <c r="T11" i="59"/>
  <c r="T35" i="59" s="1"/>
  <c r="Q11" i="59"/>
  <c r="Q35" i="59" s="1"/>
  <c r="I11" i="59"/>
  <c r="I35" i="59" s="1"/>
  <c r="E11" i="59"/>
  <c r="E35" i="59" s="1"/>
  <c r="Z15" i="19"/>
  <c r="Z11" i="19"/>
  <c r="Z20" i="19"/>
  <c r="Z22" i="19"/>
  <c r="Z27" i="19"/>
  <c r="Y6" i="19"/>
  <c r="T7" i="19"/>
  <c r="Y7" i="19"/>
  <c r="Z7" i="19" s="1"/>
  <c r="U11" i="59"/>
  <c r="U35" i="59" s="1"/>
  <c r="R11" i="59"/>
  <c r="R35" i="59" s="1"/>
  <c r="N11" i="59"/>
  <c r="N35" i="59" s="1"/>
  <c r="J11" i="59"/>
  <c r="J35" i="59" s="1"/>
  <c r="F11" i="59"/>
  <c r="F35" i="59" s="1"/>
  <c r="AA8" i="61"/>
  <c r="AB8" i="61"/>
  <c r="AC8" i="61"/>
  <c r="AD8" i="61"/>
  <c r="AA10" i="61"/>
  <c r="AB10" i="61"/>
  <c r="AC10" i="61"/>
  <c r="AD10" i="61"/>
  <c r="AA12" i="61"/>
  <c r="AB12" i="61"/>
  <c r="AC12" i="61"/>
  <c r="AD12" i="61"/>
  <c r="AA14" i="61"/>
  <c r="AB14" i="61"/>
  <c r="AC14" i="61"/>
  <c r="AD14" i="61"/>
  <c r="AA16" i="61"/>
  <c r="AB16" i="61"/>
  <c r="AC16" i="61"/>
  <c r="AD16" i="61"/>
  <c r="AA18" i="61"/>
  <c r="AB18" i="61"/>
  <c r="AC18" i="61"/>
  <c r="AD18" i="61"/>
  <c r="AA20" i="61"/>
  <c r="AB20" i="61"/>
  <c r="AC20" i="61"/>
  <c r="AD20" i="61"/>
  <c r="AA22" i="61"/>
  <c r="AB22" i="61"/>
  <c r="AC22" i="61"/>
  <c r="AD22" i="61"/>
  <c r="AA24" i="61"/>
  <c r="AB24" i="61"/>
  <c r="AC24" i="61"/>
  <c r="AD24" i="61"/>
  <c r="AA26" i="61"/>
  <c r="AB26" i="61"/>
  <c r="AC26" i="61"/>
  <c r="AD26" i="61"/>
  <c r="AA28" i="61"/>
  <c r="AB28" i="61"/>
  <c r="AC28" i="61"/>
  <c r="AD28" i="61"/>
  <c r="AA30" i="61"/>
  <c r="AB30" i="61"/>
  <c r="AC30" i="61"/>
  <c r="AD30" i="61"/>
  <c r="AA32" i="61"/>
  <c r="AB32" i="61"/>
  <c r="AC32" i="61"/>
  <c r="AD32" i="61"/>
  <c r="AA34" i="61"/>
  <c r="AB34" i="61"/>
  <c r="AC34" i="61"/>
  <c r="AD34" i="61"/>
  <c r="AA36" i="61"/>
  <c r="AB36" i="61"/>
  <c r="AC36" i="61"/>
  <c r="AD36" i="61"/>
  <c r="AA38" i="61"/>
  <c r="AB38" i="61"/>
  <c r="AC38" i="61"/>
  <c r="AD38" i="61"/>
  <c r="AA40" i="61"/>
  <c r="AB40" i="61"/>
  <c r="AC40" i="61"/>
  <c r="AD40" i="61"/>
  <c r="AA42" i="61"/>
  <c r="AB42" i="61"/>
  <c r="AC42" i="61"/>
  <c r="AD42" i="61"/>
  <c r="AA44" i="61"/>
  <c r="AB44" i="61"/>
  <c r="AC44" i="61"/>
  <c r="AD44" i="61"/>
  <c r="AA46" i="61"/>
  <c r="AB46" i="61"/>
  <c r="AC46" i="61"/>
  <c r="AD46" i="61"/>
  <c r="AA48" i="61"/>
  <c r="AB48" i="61"/>
  <c r="AC48" i="61"/>
  <c r="AD48" i="61"/>
  <c r="AA50" i="61"/>
  <c r="AB50" i="61"/>
  <c r="AC50" i="61"/>
  <c r="AD50" i="61"/>
  <c r="AA52" i="61"/>
  <c r="AB52" i="61"/>
  <c r="AC52" i="61"/>
  <c r="AD52" i="61"/>
  <c r="AD6" i="61"/>
  <c r="AC6" i="61"/>
  <c r="AB6" i="61"/>
  <c r="V8" i="61"/>
  <c r="X8" i="61"/>
  <c r="Y8" i="61"/>
  <c r="V10" i="61"/>
  <c r="W10" i="61"/>
  <c r="X10" i="61"/>
  <c r="Y10" i="61"/>
  <c r="V12" i="61"/>
  <c r="W12" i="61"/>
  <c r="X12" i="61"/>
  <c r="Y12" i="61"/>
  <c r="V14" i="61"/>
  <c r="W14" i="61"/>
  <c r="X14" i="61"/>
  <c r="Y14" i="61"/>
  <c r="V16" i="61"/>
  <c r="W16" i="61"/>
  <c r="X16" i="61"/>
  <c r="Y16" i="61"/>
  <c r="V18" i="61"/>
  <c r="W18" i="61"/>
  <c r="X18" i="61"/>
  <c r="Y18" i="61"/>
  <c r="V20" i="61"/>
  <c r="W20" i="61"/>
  <c r="X20" i="61"/>
  <c r="Y20" i="61"/>
  <c r="V22" i="61"/>
  <c r="W22" i="61"/>
  <c r="X22" i="61"/>
  <c r="Y22" i="61"/>
  <c r="V24" i="61"/>
  <c r="W24" i="61"/>
  <c r="X24" i="61"/>
  <c r="Y24" i="61"/>
  <c r="V26" i="61"/>
  <c r="W26" i="61"/>
  <c r="X26" i="61"/>
  <c r="Y26" i="61"/>
  <c r="V28" i="61"/>
  <c r="W28" i="61"/>
  <c r="X28" i="61"/>
  <c r="Y28" i="61"/>
  <c r="V30" i="61"/>
  <c r="W30" i="61"/>
  <c r="X30" i="61"/>
  <c r="Y30" i="61"/>
  <c r="V32" i="61"/>
  <c r="W32" i="61"/>
  <c r="X32" i="61"/>
  <c r="Y32" i="61"/>
  <c r="V34" i="61"/>
  <c r="W34" i="61"/>
  <c r="X34" i="61"/>
  <c r="Y34" i="61"/>
  <c r="V36" i="61"/>
  <c r="W36" i="61"/>
  <c r="X36" i="61"/>
  <c r="Y36" i="61"/>
  <c r="V38" i="61"/>
  <c r="W38" i="61"/>
  <c r="X38" i="61"/>
  <c r="Y38" i="61"/>
  <c r="V40" i="61"/>
  <c r="W40" i="61"/>
  <c r="X40" i="61"/>
  <c r="Y40" i="61"/>
  <c r="V42" i="61"/>
  <c r="W42" i="61"/>
  <c r="X42" i="61"/>
  <c r="Y42" i="61"/>
  <c r="V44" i="61"/>
  <c r="W44" i="61"/>
  <c r="X44" i="61"/>
  <c r="Y44" i="61"/>
  <c r="V46" i="61"/>
  <c r="W46" i="61"/>
  <c r="X46" i="61"/>
  <c r="Y46" i="61"/>
  <c r="V48" i="61"/>
  <c r="W48" i="61"/>
  <c r="X48" i="61"/>
  <c r="Y48" i="61"/>
  <c r="V50" i="61"/>
  <c r="W50" i="61"/>
  <c r="X50" i="61"/>
  <c r="Y50" i="61"/>
  <c r="V52" i="61"/>
  <c r="W52" i="61"/>
  <c r="X52" i="61"/>
  <c r="Y52" i="61"/>
  <c r="AA6" i="61"/>
  <c r="Y6" i="61"/>
  <c r="X6" i="61"/>
  <c r="V6" i="61"/>
  <c r="Q8" i="61"/>
  <c r="R8" i="61"/>
  <c r="S8" i="61"/>
  <c r="T8" i="61"/>
  <c r="Q10" i="61"/>
  <c r="R10" i="61"/>
  <c r="S10" i="61"/>
  <c r="T10" i="61"/>
  <c r="Q12" i="61"/>
  <c r="R12" i="61"/>
  <c r="S12" i="61"/>
  <c r="T12" i="61"/>
  <c r="Q14" i="61"/>
  <c r="R14" i="61"/>
  <c r="S14" i="61"/>
  <c r="T14" i="61"/>
  <c r="Q16" i="61"/>
  <c r="R16" i="61"/>
  <c r="S16" i="61"/>
  <c r="T16" i="61"/>
  <c r="Q18" i="61"/>
  <c r="R18" i="61"/>
  <c r="S18" i="61"/>
  <c r="T18" i="61"/>
  <c r="Q20" i="61"/>
  <c r="R20" i="61"/>
  <c r="S20" i="61"/>
  <c r="T20" i="61"/>
  <c r="Q22" i="61"/>
  <c r="R22" i="61"/>
  <c r="S22" i="61"/>
  <c r="T22" i="61"/>
  <c r="Q24" i="61"/>
  <c r="R24" i="61"/>
  <c r="S24" i="61"/>
  <c r="T24" i="61"/>
  <c r="Q26" i="61"/>
  <c r="R26" i="61"/>
  <c r="S26" i="61"/>
  <c r="T26" i="61"/>
  <c r="Q28" i="61"/>
  <c r="R28" i="61"/>
  <c r="S28" i="61"/>
  <c r="T28" i="61"/>
  <c r="Q30" i="61"/>
  <c r="R30" i="61"/>
  <c r="S30" i="61"/>
  <c r="T30" i="61"/>
  <c r="Q32" i="61"/>
  <c r="R32" i="61"/>
  <c r="S32" i="61"/>
  <c r="T32" i="61"/>
  <c r="Q34" i="61"/>
  <c r="R34" i="61"/>
  <c r="S34" i="61"/>
  <c r="T34" i="61"/>
  <c r="Q36" i="61"/>
  <c r="R36" i="61"/>
  <c r="S36" i="61"/>
  <c r="T36" i="61"/>
  <c r="Q38" i="61"/>
  <c r="R38" i="61"/>
  <c r="S38" i="61"/>
  <c r="T38" i="61"/>
  <c r="Q40" i="61"/>
  <c r="R40" i="61"/>
  <c r="S40" i="61"/>
  <c r="T40" i="61"/>
  <c r="Q42" i="61"/>
  <c r="R42" i="61"/>
  <c r="S42" i="61"/>
  <c r="T42" i="61"/>
  <c r="Q44" i="61"/>
  <c r="R44" i="61"/>
  <c r="S44" i="61"/>
  <c r="T44" i="61"/>
  <c r="Q46" i="61"/>
  <c r="R46" i="61"/>
  <c r="S46" i="61"/>
  <c r="T46" i="61"/>
  <c r="Q48" i="61"/>
  <c r="R48" i="61"/>
  <c r="S48" i="61"/>
  <c r="T48" i="61"/>
  <c r="Q50" i="61"/>
  <c r="R50" i="61"/>
  <c r="S50" i="61"/>
  <c r="T50" i="61"/>
  <c r="Q52" i="61"/>
  <c r="R52" i="61"/>
  <c r="S52" i="61"/>
  <c r="T52" i="61"/>
  <c r="T6" i="61"/>
  <c r="S6" i="61"/>
  <c r="Q6" i="61"/>
  <c r="L8" i="61"/>
  <c r="M8" i="61"/>
  <c r="N8" i="61"/>
  <c r="O8" i="61"/>
  <c r="L10" i="61"/>
  <c r="M10" i="61"/>
  <c r="N10" i="61"/>
  <c r="O10" i="61"/>
  <c r="L12" i="61"/>
  <c r="M12" i="61"/>
  <c r="N12" i="61"/>
  <c r="O12" i="61"/>
  <c r="L14" i="61"/>
  <c r="M14" i="61"/>
  <c r="N14" i="61"/>
  <c r="O14" i="61"/>
  <c r="L16" i="61"/>
  <c r="M16" i="61"/>
  <c r="N16" i="61"/>
  <c r="O16" i="61"/>
  <c r="L18" i="61"/>
  <c r="M18" i="61"/>
  <c r="N18" i="61"/>
  <c r="O18" i="61"/>
  <c r="L20" i="61"/>
  <c r="M20" i="61"/>
  <c r="N20" i="61"/>
  <c r="O20" i="61"/>
  <c r="L22" i="61"/>
  <c r="M22" i="61"/>
  <c r="N22" i="61"/>
  <c r="O22" i="61"/>
  <c r="L24" i="61"/>
  <c r="M24" i="61"/>
  <c r="N24" i="61"/>
  <c r="O24" i="61"/>
  <c r="L26" i="61"/>
  <c r="M26" i="61"/>
  <c r="N26" i="61"/>
  <c r="O26" i="61"/>
  <c r="L28" i="61"/>
  <c r="M28" i="61"/>
  <c r="N28" i="61"/>
  <c r="O28" i="61"/>
  <c r="L30" i="61"/>
  <c r="M30" i="61"/>
  <c r="N30" i="61"/>
  <c r="O30" i="61"/>
  <c r="L32" i="61"/>
  <c r="M32" i="61"/>
  <c r="N32" i="61"/>
  <c r="O32" i="61"/>
  <c r="L34" i="61"/>
  <c r="M34" i="61"/>
  <c r="N34" i="61"/>
  <c r="O34" i="61"/>
  <c r="L36" i="61"/>
  <c r="M36" i="61"/>
  <c r="N36" i="61"/>
  <c r="O36" i="61"/>
  <c r="L38" i="61"/>
  <c r="M38" i="61"/>
  <c r="N38" i="61"/>
  <c r="O38" i="61"/>
  <c r="L40" i="61"/>
  <c r="M40" i="61"/>
  <c r="N40" i="61"/>
  <c r="O40" i="61"/>
  <c r="L42" i="61"/>
  <c r="M42" i="61"/>
  <c r="N42" i="61"/>
  <c r="O42" i="61"/>
  <c r="L44" i="61"/>
  <c r="M44" i="61"/>
  <c r="N44" i="61"/>
  <c r="O44" i="61"/>
  <c r="L46" i="61"/>
  <c r="M46" i="61"/>
  <c r="N46" i="61"/>
  <c r="O46" i="61"/>
  <c r="L48" i="61"/>
  <c r="M48" i="61"/>
  <c r="N48" i="61"/>
  <c r="O48" i="61"/>
  <c r="L50" i="61"/>
  <c r="M50" i="61"/>
  <c r="N50" i="61"/>
  <c r="O50" i="61"/>
  <c r="L52" i="61"/>
  <c r="M52" i="61"/>
  <c r="N52" i="61"/>
  <c r="O52" i="61"/>
  <c r="O6" i="61"/>
  <c r="N6" i="61"/>
  <c r="M6" i="61"/>
  <c r="L6" i="61"/>
  <c r="G16" i="61"/>
  <c r="H16" i="61"/>
  <c r="I16" i="61"/>
  <c r="J16" i="61"/>
  <c r="G18" i="61"/>
  <c r="H18" i="61"/>
  <c r="I18" i="61"/>
  <c r="J18" i="61"/>
  <c r="G20" i="61"/>
  <c r="H20" i="61"/>
  <c r="I20" i="61"/>
  <c r="J20" i="61"/>
  <c r="G22" i="61"/>
  <c r="H22" i="61"/>
  <c r="I22" i="61"/>
  <c r="J22" i="61"/>
  <c r="G24" i="61"/>
  <c r="H24" i="61"/>
  <c r="I24" i="61"/>
  <c r="J24" i="61"/>
  <c r="G26" i="61"/>
  <c r="H26" i="61"/>
  <c r="I26" i="61"/>
  <c r="J26" i="61"/>
  <c r="G28" i="61"/>
  <c r="H28" i="61"/>
  <c r="I28" i="61"/>
  <c r="J28" i="61"/>
  <c r="G30" i="61"/>
  <c r="H30" i="61"/>
  <c r="I30" i="61"/>
  <c r="J30" i="61"/>
  <c r="G32" i="61"/>
  <c r="H32" i="61"/>
  <c r="I32" i="61"/>
  <c r="J32" i="61"/>
  <c r="G34" i="61"/>
  <c r="H34" i="61"/>
  <c r="I34" i="61"/>
  <c r="J34" i="61"/>
  <c r="G36" i="61"/>
  <c r="H36" i="61"/>
  <c r="I36" i="61"/>
  <c r="J36" i="61"/>
  <c r="G38" i="61"/>
  <c r="H38" i="61"/>
  <c r="I38" i="61"/>
  <c r="J38" i="61"/>
  <c r="G40" i="61"/>
  <c r="H40" i="61"/>
  <c r="I40" i="61"/>
  <c r="J40" i="61"/>
  <c r="G42" i="61"/>
  <c r="H42" i="61"/>
  <c r="I42" i="61"/>
  <c r="J42" i="61"/>
  <c r="G44" i="61"/>
  <c r="H44" i="61"/>
  <c r="I44" i="61"/>
  <c r="J44" i="61"/>
  <c r="G46" i="61"/>
  <c r="H46" i="61"/>
  <c r="I46" i="61"/>
  <c r="J46" i="61"/>
  <c r="G48" i="61"/>
  <c r="H48" i="61"/>
  <c r="I48" i="61"/>
  <c r="J48" i="61"/>
  <c r="G50" i="61"/>
  <c r="H50" i="61"/>
  <c r="I50" i="61"/>
  <c r="J50" i="61"/>
  <c r="G52" i="61"/>
  <c r="H52" i="61"/>
  <c r="I52" i="61"/>
  <c r="J52" i="61"/>
  <c r="H8" i="61"/>
  <c r="I8" i="61"/>
  <c r="J8" i="61"/>
  <c r="H10" i="61"/>
  <c r="I10" i="61"/>
  <c r="J10" i="61"/>
  <c r="H12" i="61"/>
  <c r="I12" i="61"/>
  <c r="J12" i="61"/>
  <c r="H14" i="61"/>
  <c r="I14" i="61"/>
  <c r="J14" i="61"/>
  <c r="J6" i="61"/>
  <c r="I6" i="61"/>
  <c r="H6" i="61"/>
  <c r="G8" i="61"/>
  <c r="G12" i="61"/>
  <c r="G14" i="61"/>
  <c r="G6" i="61"/>
  <c r="S30" i="19" l="1"/>
  <c r="W35" i="59"/>
  <c r="W16" i="59"/>
  <c r="W23" i="59" s="1"/>
  <c r="G16" i="59"/>
  <c r="G23" i="59" s="1"/>
  <c r="G35" i="59"/>
  <c r="T16" i="59"/>
  <c r="T23" i="59" s="1"/>
  <c r="Z52" i="61"/>
  <c r="Z46" i="61"/>
  <c r="Z44" i="61"/>
  <c r="Z38" i="61"/>
  <c r="Z36" i="61"/>
  <c r="Z30" i="61"/>
  <c r="Z28" i="61"/>
  <c r="Z22" i="61"/>
  <c r="Z20" i="61"/>
  <c r="Z14" i="61"/>
  <c r="Z12" i="61"/>
  <c r="U16" i="59"/>
  <c r="U23" i="59" s="1"/>
  <c r="P48" i="61"/>
  <c r="P46" i="61"/>
  <c r="P40" i="61"/>
  <c r="P38" i="61"/>
  <c r="P32" i="61"/>
  <c r="P30" i="61"/>
  <c r="P24" i="61"/>
  <c r="P22" i="61"/>
  <c r="P16" i="61"/>
  <c r="P14" i="61"/>
  <c r="P8" i="61"/>
  <c r="P6" i="61"/>
  <c r="K6" i="61"/>
  <c r="K8" i="61"/>
  <c r="K46" i="61"/>
  <c r="K40" i="61"/>
  <c r="K30" i="61"/>
  <c r="K24" i="61"/>
  <c r="K22" i="61"/>
  <c r="K16" i="61"/>
  <c r="K12" i="61"/>
  <c r="K10" i="61"/>
  <c r="K52" i="61"/>
  <c r="K50" i="61"/>
  <c r="K44" i="61"/>
  <c r="K42" i="61"/>
  <c r="K36" i="61"/>
  <c r="K34" i="61"/>
  <c r="K28" i="61"/>
  <c r="K26" i="61"/>
  <c r="K20" i="61"/>
  <c r="K18" i="61"/>
  <c r="K14" i="61"/>
  <c r="Q16" i="59"/>
  <c r="Q23" i="59" s="1"/>
  <c r="N16" i="59"/>
  <c r="N23" i="59" s="1"/>
  <c r="I16" i="59"/>
  <c r="I23" i="59" s="1"/>
  <c r="M16" i="59"/>
  <c r="M23" i="59" s="1"/>
  <c r="P16" i="59"/>
  <c r="P23" i="59" s="1"/>
  <c r="E16" i="59"/>
  <c r="E23" i="59" s="1"/>
  <c r="T6" i="19"/>
  <c r="T8" i="19"/>
  <c r="Y8" i="19"/>
  <c r="Z8" i="19" s="1"/>
  <c r="K48" i="61"/>
  <c r="K38" i="61"/>
  <c r="K32" i="61"/>
  <c r="T17" i="19"/>
  <c r="Y17" i="19"/>
  <c r="Z17" i="19" s="1"/>
  <c r="P50" i="61"/>
  <c r="P36" i="61"/>
  <c r="P52" i="61"/>
  <c r="P44" i="61"/>
  <c r="P42" i="61"/>
  <c r="P34" i="61"/>
  <c r="P28" i="61"/>
  <c r="P26" i="61"/>
  <c r="P20" i="61"/>
  <c r="P18" i="61"/>
  <c r="P12" i="61"/>
  <c r="P10" i="61"/>
  <c r="R16" i="59"/>
  <c r="R23" i="59" s="1"/>
  <c r="D16" i="59"/>
  <c r="D23" i="59" s="1"/>
  <c r="AE52" i="61"/>
  <c r="AE28" i="61"/>
  <c r="AE44" i="61"/>
  <c r="AE36" i="61"/>
  <c r="AE20" i="61"/>
  <c r="AE12" i="61"/>
  <c r="AE50" i="61"/>
  <c r="AE48" i="61"/>
  <c r="AE46" i="61"/>
  <c r="AE42" i="61"/>
  <c r="AE40" i="61"/>
  <c r="AE38" i="61"/>
  <c r="AE34" i="61"/>
  <c r="AE32" i="61"/>
  <c r="AE30" i="61"/>
  <c r="AE26" i="61"/>
  <c r="AE24" i="61"/>
  <c r="AE22" i="61"/>
  <c r="AE18" i="61"/>
  <c r="AE16" i="61"/>
  <c r="AE14" i="61"/>
  <c r="AE10" i="61"/>
  <c r="AE8" i="61"/>
  <c r="Z50" i="61"/>
  <c r="Z48" i="61"/>
  <c r="Z42" i="61"/>
  <c r="Z40" i="61"/>
  <c r="Z34" i="61"/>
  <c r="Z32" i="61"/>
  <c r="Z26" i="61"/>
  <c r="Z24" i="61"/>
  <c r="Z18" i="61"/>
  <c r="Z16" i="61"/>
  <c r="Z10" i="61"/>
  <c r="Z8" i="61"/>
  <c r="U48" i="61"/>
  <c r="U46" i="61"/>
  <c r="U40" i="61"/>
  <c r="U38" i="61"/>
  <c r="U32" i="61"/>
  <c r="U30" i="61"/>
  <c r="U24" i="61"/>
  <c r="U22" i="61"/>
  <c r="U16" i="61"/>
  <c r="U14" i="61"/>
  <c r="U8" i="61"/>
  <c r="U6" i="61"/>
  <c r="U50" i="61"/>
  <c r="U42" i="61"/>
  <c r="U34" i="61"/>
  <c r="U26" i="61"/>
  <c r="U20" i="61"/>
  <c r="U18" i="61"/>
  <c r="U10" i="61"/>
  <c r="U52" i="61"/>
  <c r="U44" i="61"/>
  <c r="U36" i="61"/>
  <c r="U28" i="61"/>
  <c r="U12" i="61"/>
  <c r="O16" i="59"/>
  <c r="O23" i="59" s="1"/>
  <c r="K16" i="59"/>
  <c r="K23" i="59" s="1"/>
  <c r="F16" i="59"/>
  <c r="F23" i="59" s="1"/>
  <c r="C16" i="59"/>
  <c r="C23" i="59" s="1"/>
  <c r="J16" i="59"/>
  <c r="J23" i="59" s="1"/>
  <c r="H16" i="59"/>
  <c r="H23" i="59" s="1"/>
  <c r="S16" i="59"/>
  <c r="S23" i="59" s="1"/>
  <c r="L16" i="59"/>
  <c r="L23" i="59" s="1"/>
  <c r="V16" i="59"/>
  <c r="V23" i="59" s="1"/>
  <c r="Z6" i="19"/>
  <c r="E6" i="61"/>
  <c r="J6" i="60" s="1"/>
  <c r="D6" i="61"/>
  <c r="C6" i="61"/>
  <c r="H6" i="60" s="1"/>
  <c r="G54" i="61"/>
  <c r="B6" i="61"/>
  <c r="G6" i="60" s="1"/>
  <c r="J54" i="61"/>
  <c r="I54" i="61"/>
  <c r="B8" i="61"/>
  <c r="G8" i="60" s="1"/>
  <c r="H8" i="60"/>
  <c r="D86" i="60" s="1"/>
  <c r="D8" i="61"/>
  <c r="I8" i="60" s="1"/>
  <c r="E8" i="61"/>
  <c r="J8" i="60" s="1"/>
  <c r="B12" i="61"/>
  <c r="G12" i="60" s="1"/>
  <c r="C12" i="61"/>
  <c r="H12" i="60" s="1"/>
  <c r="D88" i="60" s="1"/>
  <c r="D12" i="61"/>
  <c r="I12" i="60" s="1"/>
  <c r="E12" i="61"/>
  <c r="J12" i="60" s="1"/>
  <c r="B16" i="61"/>
  <c r="G16" i="60" s="1"/>
  <c r="C16" i="61"/>
  <c r="H16" i="60" s="1"/>
  <c r="D89" i="60" s="1"/>
  <c r="D16" i="61"/>
  <c r="I16" i="60" s="1"/>
  <c r="E16" i="61"/>
  <c r="J16" i="60" s="1"/>
  <c r="B10" i="61"/>
  <c r="G10" i="60" s="1"/>
  <c r="C10" i="61"/>
  <c r="H10" i="60" s="1"/>
  <c r="D10" i="61"/>
  <c r="I10" i="60" s="1"/>
  <c r="E10" i="61"/>
  <c r="J10" i="60" s="1"/>
  <c r="B14" i="61"/>
  <c r="G14" i="60" s="1"/>
  <c r="C14" i="61"/>
  <c r="H14" i="60" s="1"/>
  <c r="D14" i="61"/>
  <c r="I14" i="60" s="1"/>
  <c r="E14" i="61"/>
  <c r="J14" i="60" s="1"/>
  <c r="B18" i="61"/>
  <c r="G18" i="60" s="1"/>
  <c r="C18" i="61"/>
  <c r="H18" i="60" s="1"/>
  <c r="D18" i="61"/>
  <c r="I18" i="60" s="1"/>
  <c r="E18" i="61"/>
  <c r="J18" i="60" s="1"/>
  <c r="B20" i="61"/>
  <c r="G20" i="60" s="1"/>
  <c r="C20" i="61"/>
  <c r="H20" i="60" s="1"/>
  <c r="D20" i="61"/>
  <c r="I20" i="60" s="1"/>
  <c r="E20" i="61"/>
  <c r="J20" i="60" s="1"/>
  <c r="B22" i="61"/>
  <c r="G22" i="60" s="1"/>
  <c r="C22" i="61"/>
  <c r="H22" i="60" s="1"/>
  <c r="D92" i="60" s="1"/>
  <c r="D22" i="61"/>
  <c r="I22" i="60" s="1"/>
  <c r="E22" i="61"/>
  <c r="J22" i="60" s="1"/>
  <c r="B24" i="61"/>
  <c r="G24" i="60" s="1"/>
  <c r="C24" i="61"/>
  <c r="H24" i="60" s="1"/>
  <c r="D93" i="60" s="1"/>
  <c r="D24" i="61"/>
  <c r="I24" i="60" s="1"/>
  <c r="E24" i="61"/>
  <c r="J24" i="60" s="1"/>
  <c r="B26" i="61"/>
  <c r="G26" i="60" s="1"/>
  <c r="C26" i="61"/>
  <c r="H26" i="60" s="1"/>
  <c r="D26" i="61"/>
  <c r="I26" i="60" s="1"/>
  <c r="E26" i="61"/>
  <c r="J26" i="60" s="1"/>
  <c r="B28" i="61"/>
  <c r="G28" i="60" s="1"/>
  <c r="C28" i="61"/>
  <c r="H28" i="60" s="1"/>
  <c r="D94" i="60" s="1"/>
  <c r="D28" i="61"/>
  <c r="I28" i="60" s="1"/>
  <c r="E28" i="61"/>
  <c r="J28" i="60" s="1"/>
  <c r="B30" i="61"/>
  <c r="G30" i="60" s="1"/>
  <c r="C30" i="61"/>
  <c r="H30" i="60" s="1"/>
  <c r="D95" i="60" s="1"/>
  <c r="D30" i="61"/>
  <c r="I30" i="60" s="1"/>
  <c r="E30" i="61"/>
  <c r="J30" i="60" s="1"/>
  <c r="B32" i="61"/>
  <c r="G32" i="60" s="1"/>
  <c r="C32" i="61"/>
  <c r="H32" i="60" s="1"/>
  <c r="D32" i="61"/>
  <c r="I32" i="60" s="1"/>
  <c r="E32" i="61"/>
  <c r="J32" i="60" s="1"/>
  <c r="B34" i="61"/>
  <c r="G34" i="60" s="1"/>
  <c r="C34" i="61"/>
  <c r="H34" i="60" s="1"/>
  <c r="D34" i="61"/>
  <c r="I34" i="60" s="1"/>
  <c r="E34" i="61"/>
  <c r="J34" i="60" s="1"/>
  <c r="B36" i="61"/>
  <c r="G36" i="60" s="1"/>
  <c r="C36" i="61"/>
  <c r="H36" i="60" s="1"/>
  <c r="D98" i="60" s="1"/>
  <c r="D36" i="61"/>
  <c r="I36" i="60" s="1"/>
  <c r="E36" i="61"/>
  <c r="J36" i="60" s="1"/>
  <c r="B38" i="61"/>
  <c r="G38" i="60" s="1"/>
  <c r="C38" i="61"/>
  <c r="H38" i="60" s="1"/>
  <c r="D99" i="60" s="1"/>
  <c r="D38" i="61"/>
  <c r="I38" i="60" s="1"/>
  <c r="E38" i="61"/>
  <c r="J38" i="60" s="1"/>
  <c r="B40" i="61"/>
  <c r="G40" i="60" s="1"/>
  <c r="C40" i="61"/>
  <c r="H40" i="60" s="1"/>
  <c r="D100" i="60" s="1"/>
  <c r="D40" i="61"/>
  <c r="I40" i="60" s="1"/>
  <c r="E40" i="61"/>
  <c r="J40" i="60" s="1"/>
  <c r="B42" i="61"/>
  <c r="G42" i="60" s="1"/>
  <c r="C42" i="61"/>
  <c r="H42" i="60" s="1"/>
  <c r="D42" i="61"/>
  <c r="I42" i="60" s="1"/>
  <c r="E42" i="61"/>
  <c r="J42" i="60" s="1"/>
  <c r="B44" i="61"/>
  <c r="G44" i="60" s="1"/>
  <c r="C44" i="61"/>
  <c r="H44" i="60" s="1"/>
  <c r="D44" i="61"/>
  <c r="I44" i="60" s="1"/>
  <c r="E44" i="61"/>
  <c r="J44" i="60" s="1"/>
  <c r="B46" i="61"/>
  <c r="G46" i="60" s="1"/>
  <c r="C46" i="61"/>
  <c r="H46" i="60" s="1"/>
  <c r="D103" i="60" s="1"/>
  <c r="D46" i="61"/>
  <c r="I46" i="60" s="1"/>
  <c r="E46" i="61"/>
  <c r="J46" i="60" s="1"/>
  <c r="B48" i="61"/>
  <c r="G48" i="60" s="1"/>
  <c r="C48" i="61"/>
  <c r="H48" i="60" s="1"/>
  <c r="D104" i="60" s="1"/>
  <c r="D48" i="61"/>
  <c r="I48" i="60" s="1"/>
  <c r="E48" i="61"/>
  <c r="J48" i="60" s="1"/>
  <c r="B50" i="61"/>
  <c r="G50" i="60" s="1"/>
  <c r="C50" i="61"/>
  <c r="H50" i="60" s="1"/>
  <c r="D105" i="60" s="1"/>
  <c r="D50" i="61"/>
  <c r="I50" i="60" s="1"/>
  <c r="E50" i="61"/>
  <c r="J50" i="60" s="1"/>
  <c r="B52" i="61"/>
  <c r="G52" i="60" s="1"/>
  <c r="C52" i="61"/>
  <c r="H52" i="60" s="1"/>
  <c r="D52" i="61"/>
  <c r="I52" i="60" s="1"/>
  <c r="E52" i="61"/>
  <c r="J52" i="60" s="1"/>
  <c r="I6" i="62"/>
  <c r="G8" i="62"/>
  <c r="H8" i="62"/>
  <c r="I8" i="62"/>
  <c r="J8" i="62"/>
  <c r="G10" i="62"/>
  <c r="H10" i="62"/>
  <c r="I10" i="62"/>
  <c r="J10" i="62"/>
  <c r="G12" i="62"/>
  <c r="H12" i="62"/>
  <c r="I12" i="62"/>
  <c r="J12" i="62"/>
  <c r="G14" i="62"/>
  <c r="H14" i="62"/>
  <c r="I14" i="62"/>
  <c r="J14" i="62"/>
  <c r="G16" i="62"/>
  <c r="H16" i="62"/>
  <c r="I16" i="62"/>
  <c r="J16" i="62"/>
  <c r="G18" i="62"/>
  <c r="H18" i="62"/>
  <c r="I18" i="62"/>
  <c r="J18" i="62"/>
  <c r="G20" i="62"/>
  <c r="H20" i="62"/>
  <c r="I20" i="62"/>
  <c r="J20" i="62"/>
  <c r="G22" i="62"/>
  <c r="H22" i="62"/>
  <c r="I22" i="62"/>
  <c r="J22" i="62"/>
  <c r="G24" i="62"/>
  <c r="H24" i="62"/>
  <c r="I24" i="62"/>
  <c r="J24" i="62"/>
  <c r="G26" i="62"/>
  <c r="H26" i="62"/>
  <c r="I26" i="62"/>
  <c r="J26" i="62"/>
  <c r="G28" i="62"/>
  <c r="H28" i="62"/>
  <c r="I28" i="62"/>
  <c r="J28" i="62"/>
  <c r="G30" i="62"/>
  <c r="H30" i="62"/>
  <c r="I30" i="62"/>
  <c r="J30" i="62"/>
  <c r="G32" i="62"/>
  <c r="H32" i="62"/>
  <c r="I32" i="62"/>
  <c r="J32" i="62"/>
  <c r="G34" i="62"/>
  <c r="H34" i="62"/>
  <c r="I34" i="62"/>
  <c r="J34" i="62"/>
  <c r="G36" i="62"/>
  <c r="H36" i="62"/>
  <c r="I36" i="62"/>
  <c r="J36" i="62"/>
  <c r="G38" i="62"/>
  <c r="H38" i="62"/>
  <c r="I38" i="62"/>
  <c r="J38" i="62"/>
  <c r="G40" i="62"/>
  <c r="H40" i="62"/>
  <c r="I40" i="62"/>
  <c r="J40" i="62"/>
  <c r="G42" i="62"/>
  <c r="H42" i="62"/>
  <c r="I42" i="62"/>
  <c r="J42" i="62"/>
  <c r="G44" i="62"/>
  <c r="H44" i="62"/>
  <c r="I44" i="62"/>
  <c r="J44" i="62"/>
  <c r="G46" i="62"/>
  <c r="H46" i="62"/>
  <c r="I46" i="62"/>
  <c r="J46" i="62"/>
  <c r="G48" i="62"/>
  <c r="H48" i="62"/>
  <c r="I48" i="62"/>
  <c r="J48" i="62"/>
  <c r="G50" i="62"/>
  <c r="H50" i="62"/>
  <c r="I50" i="62"/>
  <c r="J50" i="62"/>
  <c r="G52" i="62"/>
  <c r="H52" i="62"/>
  <c r="I52" i="62"/>
  <c r="J52" i="62"/>
  <c r="J6" i="62"/>
  <c r="H6" i="62"/>
  <c r="G6" i="62"/>
  <c r="C8" i="62"/>
  <c r="C10" i="62"/>
  <c r="C12" i="62"/>
  <c r="C14" i="62"/>
  <c r="C16" i="62"/>
  <c r="C18" i="62"/>
  <c r="C20" i="62"/>
  <c r="C22" i="62"/>
  <c r="C24" i="62"/>
  <c r="C26" i="62"/>
  <c r="C28" i="62"/>
  <c r="C30" i="62"/>
  <c r="C32" i="62"/>
  <c r="C34" i="62"/>
  <c r="C36" i="62"/>
  <c r="C38" i="62"/>
  <c r="C40" i="62"/>
  <c r="C42" i="62"/>
  <c r="C44" i="62"/>
  <c r="C46" i="62"/>
  <c r="C48" i="62"/>
  <c r="C50" i="62"/>
  <c r="C52" i="62"/>
  <c r="C6" i="62"/>
  <c r="B8" i="62"/>
  <c r="D8" i="62"/>
  <c r="E8" i="62"/>
  <c r="B10" i="62"/>
  <c r="D10" i="62"/>
  <c r="E10" i="62"/>
  <c r="B12" i="62"/>
  <c r="D12" i="62"/>
  <c r="E12" i="62"/>
  <c r="B14" i="62"/>
  <c r="D14" i="62"/>
  <c r="E14" i="62"/>
  <c r="B16" i="62"/>
  <c r="D16" i="62"/>
  <c r="E16" i="62"/>
  <c r="B18" i="62"/>
  <c r="D18" i="62"/>
  <c r="E18" i="62"/>
  <c r="B20" i="62"/>
  <c r="D20" i="62"/>
  <c r="E20" i="62"/>
  <c r="B22" i="62"/>
  <c r="D22" i="62"/>
  <c r="E22" i="62"/>
  <c r="B24" i="62"/>
  <c r="D24" i="62"/>
  <c r="E24" i="62"/>
  <c r="B26" i="62"/>
  <c r="D26" i="62"/>
  <c r="E26" i="62"/>
  <c r="B28" i="62"/>
  <c r="D28" i="62"/>
  <c r="E28" i="62"/>
  <c r="B30" i="62"/>
  <c r="D30" i="62"/>
  <c r="E30" i="62"/>
  <c r="B32" i="62"/>
  <c r="D32" i="62"/>
  <c r="E32" i="62"/>
  <c r="B34" i="62"/>
  <c r="D34" i="62"/>
  <c r="E34" i="62"/>
  <c r="B36" i="62"/>
  <c r="D36" i="62"/>
  <c r="E36" i="62"/>
  <c r="B38" i="62"/>
  <c r="D38" i="62"/>
  <c r="E38" i="62"/>
  <c r="B40" i="62"/>
  <c r="D40" i="62"/>
  <c r="E40" i="62"/>
  <c r="B42" i="62"/>
  <c r="D42" i="62"/>
  <c r="E42" i="62"/>
  <c r="B44" i="62"/>
  <c r="D44" i="62"/>
  <c r="E44" i="62"/>
  <c r="B46" i="62"/>
  <c r="D46" i="62"/>
  <c r="E46" i="62"/>
  <c r="B48" i="62"/>
  <c r="D48" i="62"/>
  <c r="E48" i="62"/>
  <c r="B50" i="62"/>
  <c r="D50" i="62"/>
  <c r="E50" i="62"/>
  <c r="B52" i="62"/>
  <c r="D52" i="62"/>
  <c r="E52" i="62"/>
  <c r="C8" i="60"/>
  <c r="B86" i="60" s="1"/>
  <c r="C10" i="60"/>
  <c r="C12" i="60"/>
  <c r="B88" i="60" s="1"/>
  <c r="C14" i="60"/>
  <c r="C16" i="60"/>
  <c r="B89" i="60" s="1"/>
  <c r="C18" i="60"/>
  <c r="B90" i="60" s="1"/>
  <c r="C20" i="60"/>
  <c r="B91" i="60" s="1"/>
  <c r="C22" i="60"/>
  <c r="B92" i="60" s="1"/>
  <c r="C24" i="60"/>
  <c r="B93" i="60" s="1"/>
  <c r="C26" i="60"/>
  <c r="C28" i="60"/>
  <c r="B94" i="60" s="1"/>
  <c r="C30" i="60"/>
  <c r="B95" i="60" s="1"/>
  <c r="C32" i="60"/>
  <c r="B96" i="60" s="1"/>
  <c r="C34" i="60"/>
  <c r="C36" i="60"/>
  <c r="B98" i="60" s="1"/>
  <c r="C38" i="60"/>
  <c r="B99" i="60" s="1"/>
  <c r="C40" i="60"/>
  <c r="B100" i="60" s="1"/>
  <c r="C42" i="60"/>
  <c r="B101" i="60" s="1"/>
  <c r="C44" i="60"/>
  <c r="B102" i="60" s="1"/>
  <c r="C46" i="60"/>
  <c r="B103" i="60" s="1"/>
  <c r="C48" i="60"/>
  <c r="B104" i="60" s="1"/>
  <c r="C50" i="60"/>
  <c r="B105" i="60" s="1"/>
  <c r="C52" i="60"/>
  <c r="B106" i="60" s="1"/>
  <c r="C6" i="60"/>
  <c r="E6" i="62"/>
  <c r="D6" i="62"/>
  <c r="B6" i="62"/>
  <c r="AD54" i="61"/>
  <c r="AC54" i="61"/>
  <c r="AB54" i="61"/>
  <c r="AA54" i="61"/>
  <c r="AE6" i="61"/>
  <c r="Y54" i="61"/>
  <c r="X54" i="61"/>
  <c r="W54" i="61"/>
  <c r="V54" i="61"/>
  <c r="Z6" i="61"/>
  <c r="T54" i="61"/>
  <c r="S54" i="61"/>
  <c r="R54" i="61"/>
  <c r="Q54" i="61"/>
  <c r="O54" i="61"/>
  <c r="N54" i="61"/>
  <c r="M54" i="61"/>
  <c r="L54" i="61"/>
  <c r="H54" i="61"/>
  <c r="O65" i="60"/>
  <c r="B52" i="60"/>
  <c r="D52" i="60"/>
  <c r="E52" i="60"/>
  <c r="D8" i="60"/>
  <c r="E8" i="60"/>
  <c r="D10" i="60"/>
  <c r="E10" i="60"/>
  <c r="D12" i="60"/>
  <c r="E12" i="60"/>
  <c r="D14" i="60"/>
  <c r="E14" i="60"/>
  <c r="D16" i="60"/>
  <c r="E16" i="60"/>
  <c r="D18" i="60"/>
  <c r="E18" i="60"/>
  <c r="D20" i="60"/>
  <c r="E20" i="60"/>
  <c r="D22" i="60"/>
  <c r="E22" i="60"/>
  <c r="D24" i="60"/>
  <c r="E24" i="60"/>
  <c r="D26" i="60"/>
  <c r="E26" i="60"/>
  <c r="D28" i="60"/>
  <c r="E28" i="60"/>
  <c r="D30" i="60"/>
  <c r="E30" i="60"/>
  <c r="D32" i="60"/>
  <c r="E32" i="60"/>
  <c r="D34" i="60"/>
  <c r="E34" i="60"/>
  <c r="D36" i="60"/>
  <c r="E36" i="60"/>
  <c r="D38" i="60"/>
  <c r="E38" i="60"/>
  <c r="D40" i="60"/>
  <c r="E40" i="60"/>
  <c r="D42" i="60"/>
  <c r="E42" i="60"/>
  <c r="D44" i="60"/>
  <c r="E44" i="60"/>
  <c r="D46" i="60"/>
  <c r="E46" i="60"/>
  <c r="D48" i="60"/>
  <c r="E48" i="60"/>
  <c r="D50" i="60"/>
  <c r="E50" i="60"/>
  <c r="E6" i="60"/>
  <c r="D6" i="60"/>
  <c r="B8" i="60"/>
  <c r="B10" i="60"/>
  <c r="B12" i="60"/>
  <c r="B14" i="60"/>
  <c r="B16" i="60"/>
  <c r="B18" i="60"/>
  <c r="B20" i="60"/>
  <c r="B22" i="60"/>
  <c r="B24" i="60"/>
  <c r="B26" i="60"/>
  <c r="B28" i="60"/>
  <c r="B30" i="60"/>
  <c r="B32" i="60"/>
  <c r="B34" i="60"/>
  <c r="B36" i="60"/>
  <c r="B38" i="60"/>
  <c r="B40" i="60"/>
  <c r="B42" i="60"/>
  <c r="B44" i="60"/>
  <c r="B46" i="60"/>
  <c r="B48" i="60"/>
  <c r="B50" i="60"/>
  <c r="B6" i="60"/>
  <c r="N68" i="60"/>
  <c r="O68" i="60" s="1"/>
  <c r="O67" i="60"/>
  <c r="Y30" i="19" l="1"/>
  <c r="O40" i="60"/>
  <c r="T40" i="60" s="1"/>
  <c r="F36" i="62"/>
  <c r="Z30" i="19"/>
  <c r="T30" i="19"/>
  <c r="K26" i="60"/>
  <c r="D70" i="60"/>
  <c r="D71" i="60"/>
  <c r="D69" i="60"/>
  <c r="K52" i="60"/>
  <c r="D67" i="60"/>
  <c r="K8" i="60"/>
  <c r="K30" i="60"/>
  <c r="D68" i="60"/>
  <c r="K10" i="60"/>
  <c r="J54" i="60"/>
  <c r="K28" i="60"/>
  <c r="H54" i="60"/>
  <c r="H58" i="60" s="1"/>
  <c r="F46" i="62"/>
  <c r="F38" i="62"/>
  <c r="D77" i="60"/>
  <c r="D76" i="60"/>
  <c r="D75" i="60"/>
  <c r="D74" i="60"/>
  <c r="D73" i="60"/>
  <c r="D72" i="60"/>
  <c r="F42" i="62"/>
  <c r="F40" i="62"/>
  <c r="N50" i="60"/>
  <c r="S50" i="60" s="1"/>
  <c r="N42" i="60"/>
  <c r="S42" i="60" s="1"/>
  <c r="N30" i="60"/>
  <c r="S30" i="60" s="1"/>
  <c r="N22" i="60"/>
  <c r="S22" i="60" s="1"/>
  <c r="N20" i="60"/>
  <c r="S20" i="60" s="1"/>
  <c r="N12" i="60"/>
  <c r="S12" i="60" s="1"/>
  <c r="F52" i="62"/>
  <c r="F44" i="62"/>
  <c r="F32" i="62"/>
  <c r="F22" i="62"/>
  <c r="O24" i="60"/>
  <c r="T24" i="60" s="1"/>
  <c r="O8" i="60"/>
  <c r="T8" i="60" s="1"/>
  <c r="F6" i="62"/>
  <c r="F50" i="62"/>
  <c r="F30" i="62"/>
  <c r="N48" i="60"/>
  <c r="S48" i="60" s="1"/>
  <c r="N46" i="60"/>
  <c r="S46" i="60" s="1"/>
  <c r="N44" i="60"/>
  <c r="S44" i="60" s="1"/>
  <c r="N38" i="60"/>
  <c r="S38" i="60" s="1"/>
  <c r="N36" i="60"/>
  <c r="S36" i="60" s="1"/>
  <c r="N34" i="60"/>
  <c r="S34" i="60" s="1"/>
  <c r="N32" i="60"/>
  <c r="S32" i="60" s="1"/>
  <c r="N28" i="60"/>
  <c r="S28" i="60" s="1"/>
  <c r="N18" i="60"/>
  <c r="S18" i="60" s="1"/>
  <c r="N16" i="60"/>
  <c r="S16" i="60" s="1"/>
  <c r="N10" i="60"/>
  <c r="S10" i="60" s="1"/>
  <c r="N8" i="60"/>
  <c r="S8" i="60" s="1"/>
  <c r="F48" i="62"/>
  <c r="F24" i="62"/>
  <c r="O50" i="60"/>
  <c r="T50" i="60" s="1"/>
  <c r="O48" i="60"/>
  <c r="T48" i="60" s="1"/>
  <c r="O46" i="60"/>
  <c r="T46" i="60" s="1"/>
  <c r="O44" i="60"/>
  <c r="T44" i="60" s="1"/>
  <c r="O38" i="60"/>
  <c r="T38" i="60" s="1"/>
  <c r="O36" i="60"/>
  <c r="T36" i="60" s="1"/>
  <c r="O34" i="60"/>
  <c r="T34" i="60" s="1"/>
  <c r="O32" i="60"/>
  <c r="T32" i="60" s="1"/>
  <c r="O22" i="60"/>
  <c r="T22" i="60" s="1"/>
  <c r="O20" i="60"/>
  <c r="T20" i="60" s="1"/>
  <c r="O18" i="60"/>
  <c r="T18" i="60" s="1"/>
  <c r="O12" i="60"/>
  <c r="T12" i="60" s="1"/>
  <c r="O10" i="60"/>
  <c r="T10" i="60" s="1"/>
  <c r="N40" i="60"/>
  <c r="S40" i="60" s="1"/>
  <c r="N24" i="60"/>
  <c r="S24" i="60" s="1"/>
  <c r="O42" i="60"/>
  <c r="T42" i="60" s="1"/>
  <c r="O28" i="60"/>
  <c r="T28" i="60" s="1"/>
  <c r="O16" i="60"/>
  <c r="T16" i="60" s="1"/>
  <c r="E54" i="62"/>
  <c r="F34" i="62"/>
  <c r="F8" i="62"/>
  <c r="F28" i="62"/>
  <c r="F20" i="62"/>
  <c r="F16" i="62"/>
  <c r="F12" i="62"/>
  <c r="O6" i="60"/>
  <c r="T6" i="60" s="1"/>
  <c r="L52" i="60"/>
  <c r="Q52" i="60" s="1"/>
  <c r="L50" i="60"/>
  <c r="Q50" i="60" s="1"/>
  <c r="L48" i="60"/>
  <c r="Q48" i="60" s="1"/>
  <c r="L46" i="60"/>
  <c r="Q46" i="60" s="1"/>
  <c r="L44" i="60"/>
  <c r="Q44" i="60" s="1"/>
  <c r="L42" i="60"/>
  <c r="Q42" i="60" s="1"/>
  <c r="L40" i="60"/>
  <c r="Q40" i="60" s="1"/>
  <c r="L38" i="60"/>
  <c r="Q38" i="60" s="1"/>
  <c r="L36" i="60"/>
  <c r="Q36" i="60" s="1"/>
  <c r="L34" i="60"/>
  <c r="Q34" i="60" s="1"/>
  <c r="L32" i="60"/>
  <c r="Q32" i="60" s="1"/>
  <c r="L30" i="60"/>
  <c r="Q30" i="60" s="1"/>
  <c r="L28" i="60"/>
  <c r="Q28" i="60" s="1"/>
  <c r="L26" i="60"/>
  <c r="Q26" i="60" s="1"/>
  <c r="L24" i="60"/>
  <c r="Q24" i="60" s="1"/>
  <c r="L22" i="60"/>
  <c r="L20" i="60"/>
  <c r="L18" i="60"/>
  <c r="L16" i="60"/>
  <c r="Q16" i="60" s="1"/>
  <c r="L14" i="60"/>
  <c r="L12" i="60"/>
  <c r="Q12" i="60" s="1"/>
  <c r="L10" i="60"/>
  <c r="N6" i="60"/>
  <c r="F14" i="62"/>
  <c r="N52" i="60"/>
  <c r="S52" i="60" s="1"/>
  <c r="N26" i="60"/>
  <c r="S26" i="60" s="1"/>
  <c r="N14" i="60"/>
  <c r="S14" i="60" s="1"/>
  <c r="O52" i="60"/>
  <c r="T52" i="60" s="1"/>
  <c r="O30" i="60"/>
  <c r="T30" i="60" s="1"/>
  <c r="O26" i="60"/>
  <c r="T26" i="60" s="1"/>
  <c r="O14" i="60"/>
  <c r="T14" i="60" s="1"/>
  <c r="F26" i="62"/>
  <c r="F18" i="62"/>
  <c r="M6" i="60"/>
  <c r="R6" i="60" s="1"/>
  <c r="M52" i="60"/>
  <c r="F106" i="60" s="1"/>
  <c r="M50" i="60"/>
  <c r="F105" i="60" s="1"/>
  <c r="H105" i="60" s="1"/>
  <c r="M48" i="60"/>
  <c r="F104" i="60" s="1"/>
  <c r="H104" i="60" s="1"/>
  <c r="M46" i="60"/>
  <c r="F103" i="60" s="1"/>
  <c r="H103" i="60" s="1"/>
  <c r="M44" i="60"/>
  <c r="F102" i="60" s="1"/>
  <c r="M42" i="60"/>
  <c r="F101" i="60" s="1"/>
  <c r="M40" i="60"/>
  <c r="F100" i="60" s="1"/>
  <c r="H100" i="60" s="1"/>
  <c r="M38" i="60"/>
  <c r="F99" i="60" s="1"/>
  <c r="H99" i="60" s="1"/>
  <c r="M36" i="60"/>
  <c r="F98" i="60" s="1"/>
  <c r="H98" i="60" s="1"/>
  <c r="M34" i="60"/>
  <c r="F97" i="60" s="1"/>
  <c r="M32" i="60"/>
  <c r="F96" i="60" s="1"/>
  <c r="M30" i="60"/>
  <c r="F95" i="60" s="1"/>
  <c r="H95" i="60" s="1"/>
  <c r="M28" i="60"/>
  <c r="F94" i="60" s="1"/>
  <c r="H94" i="60" s="1"/>
  <c r="M26" i="60"/>
  <c r="R26" i="60" s="1"/>
  <c r="M24" i="60"/>
  <c r="M22" i="60"/>
  <c r="F92" i="60" s="1"/>
  <c r="H92" i="60" s="1"/>
  <c r="M20" i="60"/>
  <c r="F91" i="60" s="1"/>
  <c r="M18" i="60"/>
  <c r="F90" i="60" s="1"/>
  <c r="M16" i="60"/>
  <c r="F89" i="60" s="1"/>
  <c r="H89" i="60" s="1"/>
  <c r="M14" i="60"/>
  <c r="R14" i="60" s="1"/>
  <c r="M12" i="60"/>
  <c r="M10" i="60"/>
  <c r="F87" i="60" s="1"/>
  <c r="M8" i="60"/>
  <c r="F86" i="60" s="1"/>
  <c r="K53" i="61"/>
  <c r="K6" i="62"/>
  <c r="L6" i="60"/>
  <c r="Q6" i="60" s="1"/>
  <c r="K8" i="62"/>
  <c r="K50" i="62"/>
  <c r="K42" i="62"/>
  <c r="K34" i="62"/>
  <c r="K26" i="62"/>
  <c r="K16" i="62"/>
  <c r="K10" i="62"/>
  <c r="K52" i="62"/>
  <c r="K44" i="62"/>
  <c r="K36" i="62"/>
  <c r="K28" i="62"/>
  <c r="K18" i="62"/>
  <c r="G54" i="62"/>
  <c r="K46" i="62"/>
  <c r="K38" i="62"/>
  <c r="K30" i="62"/>
  <c r="K20" i="62"/>
  <c r="K12" i="62"/>
  <c r="I54" i="62"/>
  <c r="J54" i="62"/>
  <c r="K48" i="62"/>
  <c r="K40" i="62"/>
  <c r="K32" i="62"/>
  <c r="K22" i="62"/>
  <c r="K14" i="62"/>
  <c r="K24" i="62"/>
  <c r="L8" i="60"/>
  <c r="F48" i="60"/>
  <c r="F40" i="60"/>
  <c r="F32" i="60"/>
  <c r="F24" i="60"/>
  <c r="F16" i="60"/>
  <c r="F8" i="60"/>
  <c r="B66" i="60"/>
  <c r="F44" i="60"/>
  <c r="F36" i="60"/>
  <c r="F28" i="60"/>
  <c r="B73" i="60"/>
  <c r="B69" i="60"/>
  <c r="F30" i="60"/>
  <c r="F52" i="60"/>
  <c r="B76" i="60"/>
  <c r="B72" i="60"/>
  <c r="B68" i="60"/>
  <c r="B70" i="60"/>
  <c r="F26" i="60"/>
  <c r="B74" i="60"/>
  <c r="F34" i="60"/>
  <c r="B77" i="60"/>
  <c r="F42" i="60"/>
  <c r="F20" i="60"/>
  <c r="F12" i="60"/>
  <c r="B67" i="60"/>
  <c r="F50" i="60"/>
  <c r="F18" i="60"/>
  <c r="B97" i="60"/>
  <c r="F6" i="60"/>
  <c r="F46" i="60"/>
  <c r="F38" i="60"/>
  <c r="F22" i="60"/>
  <c r="F14" i="60"/>
  <c r="B75" i="60"/>
  <c r="C54" i="60"/>
  <c r="C58" i="60" s="1"/>
  <c r="F10" i="60"/>
  <c r="B71" i="60"/>
  <c r="B87" i="60"/>
  <c r="B54" i="60"/>
  <c r="B58" i="60" s="1"/>
  <c r="D101" i="60"/>
  <c r="D91" i="60"/>
  <c r="H91" i="60" s="1"/>
  <c r="D87" i="60"/>
  <c r="D96" i="60"/>
  <c r="D106" i="60"/>
  <c r="D97" i="60"/>
  <c r="D102" i="60"/>
  <c r="D90" i="60"/>
  <c r="D54" i="61"/>
  <c r="I6" i="60"/>
  <c r="D66" i="60" s="1"/>
  <c r="F42" i="61"/>
  <c r="F52" i="61"/>
  <c r="F44" i="61"/>
  <c r="F36" i="61"/>
  <c r="F28" i="61"/>
  <c r="F20" i="61"/>
  <c r="F12" i="61"/>
  <c r="F50" i="61"/>
  <c r="F34" i="61"/>
  <c r="F26" i="61"/>
  <c r="F18" i="61"/>
  <c r="F46" i="61"/>
  <c r="F38" i="61"/>
  <c r="F30" i="61"/>
  <c r="F22" i="61"/>
  <c r="F14" i="61"/>
  <c r="F10" i="61"/>
  <c r="F48" i="61"/>
  <c r="F40" i="61"/>
  <c r="F32" i="61"/>
  <c r="F24" i="61"/>
  <c r="F16" i="61"/>
  <c r="F8" i="61"/>
  <c r="F6" i="61"/>
  <c r="E54" i="61"/>
  <c r="K54" i="61"/>
  <c r="P54" i="61"/>
  <c r="Z54" i="61"/>
  <c r="U54" i="61"/>
  <c r="AE54" i="61"/>
  <c r="C54" i="61"/>
  <c r="B54" i="61"/>
  <c r="F10" i="62"/>
  <c r="C54" i="62"/>
  <c r="H54" i="62"/>
  <c r="B54" i="62"/>
  <c r="D54" i="62"/>
  <c r="H96" i="60" l="1"/>
  <c r="H90" i="60"/>
  <c r="H102" i="60"/>
  <c r="B107" i="60"/>
  <c r="C93" i="60" s="1"/>
  <c r="C90" i="60"/>
  <c r="R24" i="60"/>
  <c r="U24" i="60" s="1"/>
  <c r="F93" i="60"/>
  <c r="H93" i="60" s="1"/>
  <c r="H87" i="60"/>
  <c r="R12" i="60"/>
  <c r="U12" i="60" s="1"/>
  <c r="F88" i="60"/>
  <c r="H88" i="60" s="1"/>
  <c r="H106" i="60"/>
  <c r="D107" i="60"/>
  <c r="H101" i="60"/>
  <c r="H86" i="60"/>
  <c r="F107" i="60"/>
  <c r="G88" i="60" s="1"/>
  <c r="H97" i="60"/>
  <c r="K6" i="60"/>
  <c r="D78" i="60"/>
  <c r="R46" i="60"/>
  <c r="U46" i="60" s="1"/>
  <c r="R52" i="60"/>
  <c r="U52" i="60" s="1"/>
  <c r="B78" i="60"/>
  <c r="R36" i="60"/>
  <c r="U36" i="60" s="1"/>
  <c r="R44" i="60"/>
  <c r="U44" i="60" s="1"/>
  <c r="F70" i="60"/>
  <c r="H70" i="60" s="1"/>
  <c r="F74" i="60"/>
  <c r="H74" i="60" s="1"/>
  <c r="R28" i="60"/>
  <c r="U28" i="60" s="1"/>
  <c r="R20" i="60"/>
  <c r="F68" i="60"/>
  <c r="H68" i="60" s="1"/>
  <c r="R16" i="60"/>
  <c r="U16" i="60" s="1"/>
  <c r="R8" i="60"/>
  <c r="F71" i="60"/>
  <c r="H71" i="60" s="1"/>
  <c r="F73" i="60"/>
  <c r="H73" i="60" s="1"/>
  <c r="F75" i="60"/>
  <c r="H75" i="60" s="1"/>
  <c r="Q22" i="60"/>
  <c r="F69" i="60"/>
  <c r="H69" i="60" s="1"/>
  <c r="R30" i="60"/>
  <c r="U30" i="60" s="1"/>
  <c r="Q10" i="60"/>
  <c r="R32" i="60"/>
  <c r="U32" i="60" s="1"/>
  <c r="F77" i="60"/>
  <c r="H77" i="60" s="1"/>
  <c r="R10" i="60"/>
  <c r="F72" i="60"/>
  <c r="H72" i="60" s="1"/>
  <c r="F76" i="60"/>
  <c r="H76" i="60" s="1"/>
  <c r="R48" i="60"/>
  <c r="U48" i="60" s="1"/>
  <c r="R40" i="60"/>
  <c r="U40" i="60" s="1"/>
  <c r="Q20" i="60"/>
  <c r="R42" i="60"/>
  <c r="U42" i="60" s="1"/>
  <c r="F67" i="60"/>
  <c r="H67" i="60" s="1"/>
  <c r="R38" i="60"/>
  <c r="U38" i="60" s="1"/>
  <c r="Q18" i="60"/>
  <c r="R18" i="60"/>
  <c r="Q14" i="60"/>
  <c r="U14" i="60" s="1"/>
  <c r="F54" i="62"/>
  <c r="R22" i="60"/>
  <c r="R34" i="60"/>
  <c r="U34" i="60" s="1"/>
  <c r="R50" i="60"/>
  <c r="U50" i="60" s="1"/>
  <c r="F66" i="60"/>
  <c r="K54" i="62"/>
  <c r="Q8" i="60"/>
  <c r="S6" i="60"/>
  <c r="U6" i="60" s="1"/>
  <c r="U26" i="60"/>
  <c r="F53" i="60"/>
  <c r="F54" i="61"/>
  <c r="F53" i="61"/>
  <c r="P65" i="60" l="1"/>
  <c r="C89" i="60"/>
  <c r="C91" i="60"/>
  <c r="C88" i="60"/>
  <c r="C92" i="60"/>
  <c r="H107" i="60"/>
  <c r="P66" i="60"/>
  <c r="G93" i="60"/>
  <c r="G94" i="60"/>
  <c r="G91" i="60"/>
  <c r="G89" i="60"/>
  <c r="G90" i="60"/>
  <c r="G92" i="60"/>
  <c r="E88" i="60"/>
  <c r="E93" i="60"/>
  <c r="E95" i="60"/>
  <c r="C101" i="60"/>
  <c r="C103" i="60"/>
  <c r="C96" i="60"/>
  <c r="C97" i="60"/>
  <c r="C102" i="60"/>
  <c r="C98" i="60"/>
  <c r="C95" i="60"/>
  <c r="C87" i="60"/>
  <c r="C105" i="60"/>
  <c r="C94" i="60"/>
  <c r="C100" i="60"/>
  <c r="C86" i="60"/>
  <c r="C104" i="60"/>
  <c r="C99" i="60"/>
  <c r="C106" i="60"/>
  <c r="U8" i="60"/>
  <c r="U10" i="60"/>
  <c r="U20" i="60"/>
  <c r="F78" i="60"/>
  <c r="P67" i="60" s="1"/>
  <c r="H66" i="60"/>
  <c r="H78" i="60" s="1"/>
  <c r="U22" i="60"/>
  <c r="U18" i="60"/>
  <c r="E86" i="60"/>
  <c r="I88" i="60" l="1"/>
  <c r="I93" i="60"/>
  <c r="C107" i="60"/>
  <c r="P68" i="60"/>
  <c r="T54" i="60"/>
  <c r="O54" i="60"/>
  <c r="O58" i="60" s="1"/>
  <c r="J58" i="60"/>
  <c r="G87" i="60"/>
  <c r="E89" i="60"/>
  <c r="S54" i="60"/>
  <c r="R54" i="60"/>
  <c r="Q54" i="60"/>
  <c r="N54" i="60"/>
  <c r="N58" i="60" s="1"/>
  <c r="M54" i="60"/>
  <c r="M58" i="60" s="1"/>
  <c r="L54" i="60"/>
  <c r="L58" i="60" s="1"/>
  <c r="I54" i="60"/>
  <c r="I58" i="60" s="1"/>
  <c r="G54" i="60"/>
  <c r="G58" i="60" s="1"/>
  <c r="P52" i="60"/>
  <c r="P50" i="60"/>
  <c r="P48" i="60"/>
  <c r="P46" i="60"/>
  <c r="P44" i="60"/>
  <c r="P42" i="60"/>
  <c r="P40" i="60"/>
  <c r="P38" i="60"/>
  <c r="P36" i="60"/>
  <c r="P34" i="60"/>
  <c r="P32" i="60"/>
  <c r="P30" i="60"/>
  <c r="P28" i="60"/>
  <c r="P26" i="60"/>
  <c r="P24" i="60"/>
  <c r="P22" i="60"/>
  <c r="P20" i="60"/>
  <c r="P18" i="60"/>
  <c r="P16" i="60"/>
  <c r="P14" i="60"/>
  <c r="P12" i="60"/>
  <c r="P10" i="60"/>
  <c r="P8" i="60"/>
  <c r="P6" i="60"/>
  <c r="K50" i="60"/>
  <c r="K48" i="60"/>
  <c r="K46" i="60"/>
  <c r="K44" i="60"/>
  <c r="K42" i="60"/>
  <c r="K40" i="60"/>
  <c r="K38" i="60"/>
  <c r="K36" i="60"/>
  <c r="K34" i="60"/>
  <c r="K32" i="60"/>
  <c r="K24" i="60"/>
  <c r="K22" i="60"/>
  <c r="K20" i="60"/>
  <c r="K18" i="60"/>
  <c r="K16" i="60"/>
  <c r="K14" i="60"/>
  <c r="K12" i="60"/>
  <c r="T31" i="58"/>
  <c r="Z12" i="58"/>
  <c r="Z17" i="58"/>
  <c r="Z28" i="58"/>
  <c r="T10" i="58"/>
  <c r="T12" i="58"/>
  <c r="T14" i="58"/>
  <c r="T17" i="58"/>
  <c r="T18" i="58"/>
  <c r="T22" i="58"/>
  <c r="T26" i="58"/>
  <c r="T27" i="58"/>
  <c r="T28" i="58"/>
  <c r="T6" i="58"/>
  <c r="Y32" i="58"/>
  <c r="S31" i="58"/>
  <c r="Y31" i="58" s="1"/>
  <c r="Z31" i="58" s="1"/>
  <c r="X30" i="58"/>
  <c r="W30" i="58"/>
  <c r="V30" i="58"/>
  <c r="U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F30" i="58"/>
  <c r="E30" i="58"/>
  <c r="D30" i="58"/>
  <c r="C30" i="58"/>
  <c r="S29" i="58"/>
  <c r="Y29" i="58" s="1"/>
  <c r="Z29" i="58" s="1"/>
  <c r="S28" i="58"/>
  <c r="Y28" i="58" s="1"/>
  <c r="S27" i="58"/>
  <c r="Y27" i="58" s="1"/>
  <c r="Z27" i="58" s="1"/>
  <c r="Y26" i="58"/>
  <c r="Z26" i="58" s="1"/>
  <c r="S26" i="58"/>
  <c r="S25" i="58"/>
  <c r="Y25" i="58" s="1"/>
  <c r="Z25" i="58" s="1"/>
  <c r="S24" i="58"/>
  <c r="Y24" i="58" s="1"/>
  <c r="Z24" i="58" s="1"/>
  <c r="Y23" i="58"/>
  <c r="Z23" i="58" s="1"/>
  <c r="S23" i="58"/>
  <c r="T23" i="58" s="1"/>
  <c r="S22" i="58"/>
  <c r="Y22" i="58" s="1"/>
  <c r="Z22" i="58" s="1"/>
  <c r="S21" i="58"/>
  <c r="Y21" i="58" s="1"/>
  <c r="Z21" i="58" s="1"/>
  <c r="S20" i="58"/>
  <c r="Y20" i="58" s="1"/>
  <c r="Z20" i="58" s="1"/>
  <c r="S19" i="58"/>
  <c r="T19" i="58" s="1"/>
  <c r="Y18" i="58"/>
  <c r="Z18" i="58" s="1"/>
  <c r="S18" i="58"/>
  <c r="S17" i="58"/>
  <c r="Y17" i="58" s="1"/>
  <c r="S16" i="58"/>
  <c r="T16" i="58" s="1"/>
  <c r="Y15" i="58"/>
  <c r="Z15" i="58" s="1"/>
  <c r="S15" i="58"/>
  <c r="T15" i="58" s="1"/>
  <c r="S14" i="58"/>
  <c r="Y14" i="58" s="1"/>
  <c r="Z14" i="58" s="1"/>
  <c r="S13" i="58"/>
  <c r="Y13" i="58" s="1"/>
  <c r="Z13" i="58" s="1"/>
  <c r="S12" i="58"/>
  <c r="Y12" i="58" s="1"/>
  <c r="S11" i="58"/>
  <c r="T11" i="58" s="1"/>
  <c r="Y10" i="58"/>
  <c r="Z10" i="58" s="1"/>
  <c r="S10" i="58"/>
  <c r="S9" i="58"/>
  <c r="Y9" i="58" s="1"/>
  <c r="Z9" i="58" s="1"/>
  <c r="S8" i="58"/>
  <c r="Y8" i="58" s="1"/>
  <c r="Z8" i="58" s="1"/>
  <c r="Y7" i="58"/>
  <c r="Z7" i="58" s="1"/>
  <c r="S7" i="58"/>
  <c r="T7" i="58" s="1"/>
  <c r="S6" i="58"/>
  <c r="Y6" i="58" s="1"/>
  <c r="Z6" i="58" s="1"/>
  <c r="T25" i="58" l="1"/>
  <c r="T9" i="58"/>
  <c r="T30" i="58" s="1"/>
  <c r="Y11" i="58"/>
  <c r="Z11" i="58" s="1"/>
  <c r="Z30" i="58" s="1"/>
  <c r="T24" i="58"/>
  <c r="T8" i="58"/>
  <c r="T29" i="58"/>
  <c r="T21" i="58"/>
  <c r="T13" i="58"/>
  <c r="Y19" i="58"/>
  <c r="Z19" i="58" s="1"/>
  <c r="T20" i="58"/>
  <c r="K53" i="60"/>
  <c r="K54" i="60"/>
  <c r="K58" i="60" s="1"/>
  <c r="E69" i="60"/>
  <c r="E73" i="60"/>
  <c r="E77" i="60"/>
  <c r="E75" i="60"/>
  <c r="E74" i="60"/>
  <c r="E68" i="60"/>
  <c r="E72" i="60"/>
  <c r="E76" i="60"/>
  <c r="E67" i="60"/>
  <c r="E71" i="60"/>
  <c r="E70" i="60"/>
  <c r="E66" i="60"/>
  <c r="E90" i="60"/>
  <c r="E99" i="60"/>
  <c r="G102" i="60"/>
  <c r="E100" i="60"/>
  <c r="G103" i="60"/>
  <c r="E103" i="60"/>
  <c r="E91" i="60"/>
  <c r="G95" i="60"/>
  <c r="G106" i="60"/>
  <c r="G98" i="60"/>
  <c r="E104" i="60"/>
  <c r="E96" i="60"/>
  <c r="G86" i="60"/>
  <c r="G99" i="60"/>
  <c r="E105" i="60"/>
  <c r="E101" i="60"/>
  <c r="E97" i="60"/>
  <c r="E92" i="60"/>
  <c r="E87" i="60"/>
  <c r="G104" i="60"/>
  <c r="G100" i="60"/>
  <c r="G96" i="60"/>
  <c r="E106" i="60"/>
  <c r="E102" i="60"/>
  <c r="E98" i="60"/>
  <c r="E94" i="60"/>
  <c r="G105" i="60"/>
  <c r="G101" i="60"/>
  <c r="G97" i="60"/>
  <c r="U54" i="60"/>
  <c r="P54" i="60"/>
  <c r="P58" i="60" s="1"/>
  <c r="I105" i="60"/>
  <c r="I101" i="60"/>
  <c r="I92" i="60"/>
  <c r="I90" i="60"/>
  <c r="I97" i="60"/>
  <c r="I87" i="60"/>
  <c r="I86" i="60"/>
  <c r="I104" i="60"/>
  <c r="I100" i="60"/>
  <c r="I96" i="60"/>
  <c r="I91" i="60"/>
  <c r="I106" i="60"/>
  <c r="I102" i="60"/>
  <c r="I98" i="60"/>
  <c r="I94" i="60"/>
  <c r="I89" i="60"/>
  <c r="I103" i="60"/>
  <c r="I99" i="60"/>
  <c r="I95" i="60"/>
  <c r="E54" i="60"/>
  <c r="E58" i="60" s="1"/>
  <c r="D54" i="60"/>
  <c r="D58" i="60" s="1"/>
  <c r="Y16" i="58"/>
  <c r="Z16" i="58" s="1"/>
  <c r="S30" i="58"/>
  <c r="E107" i="60" l="1"/>
  <c r="G107" i="60"/>
  <c r="I107" i="60"/>
  <c r="F54" i="60"/>
  <c r="F58" i="60" s="1"/>
  <c r="E78" i="60"/>
  <c r="G67" i="60"/>
  <c r="G71" i="60"/>
  <c r="G75" i="60"/>
  <c r="G70" i="60"/>
  <c r="G74" i="60"/>
  <c r="G69" i="60"/>
  <c r="G73" i="60"/>
  <c r="G77" i="60"/>
  <c r="G68" i="60"/>
  <c r="G72" i="60"/>
  <c r="G76" i="60"/>
  <c r="G66" i="60"/>
  <c r="Y30" i="58"/>
  <c r="G78" i="60" l="1"/>
  <c r="C72" i="60" l="1"/>
  <c r="C70" i="60"/>
  <c r="C76" i="60"/>
  <c r="C69" i="60"/>
  <c r="C77" i="60"/>
  <c r="C73" i="60"/>
  <c r="C68" i="60"/>
  <c r="C74" i="60"/>
  <c r="C71" i="60"/>
  <c r="C67" i="60"/>
  <c r="C75" i="60"/>
  <c r="I69" i="60"/>
  <c r="I66" i="60"/>
  <c r="I68" i="60"/>
  <c r="I71" i="60"/>
  <c r="I67" i="60"/>
  <c r="I74" i="60"/>
  <c r="I76" i="60"/>
  <c r="I77" i="60"/>
  <c r="C66" i="60"/>
  <c r="I75" i="60"/>
  <c r="I70" i="60"/>
  <c r="I72" i="60"/>
  <c r="I73" i="60"/>
  <c r="C78" i="60" l="1"/>
  <c r="I78" i="60"/>
</calcChain>
</file>

<file path=xl/sharedStrings.xml><?xml version="1.0" encoding="utf-8"?>
<sst xmlns="http://schemas.openxmlformats.org/spreadsheetml/2006/main" count="5949" uniqueCount="265">
  <si>
    <t>Slutanvendelse</t>
  </si>
  <si>
    <t>Enhed</t>
  </si>
  <si>
    <t>LPG</t>
  </si>
  <si>
    <t>Motorbenzin, farvet</t>
  </si>
  <si>
    <t>Motorbenzin, benzin</t>
  </si>
  <si>
    <t>Fyringsgasolie</t>
  </si>
  <si>
    <t>Diesel</t>
  </si>
  <si>
    <t>Fuelolie</t>
  </si>
  <si>
    <t>Petroleumskoks</t>
  </si>
  <si>
    <t>Naturgas</t>
  </si>
  <si>
    <t>Kul</t>
  </si>
  <si>
    <t>Koks</t>
  </si>
  <si>
    <t>Halm</t>
  </si>
  <si>
    <t>Skovflis</t>
  </si>
  <si>
    <t>Træpiller mm</t>
  </si>
  <si>
    <t>Biogas</t>
  </si>
  <si>
    <t>Bioolie</t>
  </si>
  <si>
    <t>Affald</t>
  </si>
  <si>
    <t>Brændsel i alt</t>
  </si>
  <si>
    <t>El</t>
  </si>
  <si>
    <t>Fjernvarme</t>
  </si>
  <si>
    <t>Solvarme</t>
  </si>
  <si>
    <t>Varmepumper</t>
  </si>
  <si>
    <t>Totalt</t>
  </si>
  <si>
    <t>GJ</t>
  </si>
  <si>
    <t>%</t>
  </si>
  <si>
    <t>Konverterings- og nettab</t>
  </si>
  <si>
    <t>Opvarmning/kogning</t>
  </si>
  <si>
    <t>Tørring</t>
  </si>
  <si>
    <t>Inddampning</t>
  </si>
  <si>
    <t>Destillation</t>
  </si>
  <si>
    <t>Brænding/sintring</t>
  </si>
  <si>
    <t>Smeltning/støbning</t>
  </si>
  <si>
    <r>
      <t xml:space="preserve">Anden procesvarme op til 150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</si>
  <si>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 xml:space="preserve">Anden procesvarme over 150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</si>
  <si>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 xml:space="preserve">Arbejdskørsel </t>
  </si>
  <si>
    <t>Transport</t>
  </si>
  <si>
    <t>Rumvarme</t>
  </si>
  <si>
    <t>Varmepumpers energiforbrug</t>
  </si>
  <si>
    <t>Belysning</t>
  </si>
  <si>
    <t>Pumpning</t>
  </si>
  <si>
    <t>Rumkøling</t>
  </si>
  <si>
    <t>Køl/frys (ekskl. rumkøling)</t>
  </si>
  <si>
    <t>Rumventilation</t>
  </si>
  <si>
    <t>Blæsere</t>
  </si>
  <si>
    <t>Trykluft</t>
  </si>
  <si>
    <t>Hydraulik</t>
  </si>
  <si>
    <t>Øvrige elmotorer</t>
  </si>
  <si>
    <t>It og anden elektronik</t>
  </si>
  <si>
    <t>Anden elanvendelse</t>
  </si>
  <si>
    <t xml:space="preserve">Sum (energiartens procentdel af total) </t>
  </si>
  <si>
    <t xml:space="preserve">Branchens forbrug til slutanvendelser </t>
  </si>
  <si>
    <t>Varmeeksport fra overskudsvarme</t>
  </si>
  <si>
    <t>Specifikation*</t>
  </si>
  <si>
    <t>Anden procesvarme op til 150 C:</t>
  </si>
  <si>
    <t>abc</t>
  </si>
  <si>
    <t>Anden procesvarme over 150 C:</t>
  </si>
  <si>
    <t>Anden elanvendelse:</t>
  </si>
  <si>
    <t>*Anvendes til at beskrive hvad den "anden anvendelse" af procesvarme eller el anvendes til.</t>
  </si>
  <si>
    <t>Slutanvendelse af energi fordelt på energiart år 2012. Branche XX YYYY</t>
  </si>
  <si>
    <t>Branche</t>
  </si>
  <si>
    <t>sum 01-05</t>
  </si>
  <si>
    <t>Landbrug og fiskeri</t>
  </si>
  <si>
    <t>Industri</t>
  </si>
  <si>
    <t>Energiforbrug i GJ</t>
  </si>
  <si>
    <t>Total</t>
  </si>
  <si>
    <t>Sum 01 - 05</t>
  </si>
  <si>
    <t>Handel og service</t>
  </si>
  <si>
    <t>I alt</t>
  </si>
  <si>
    <t>Sum 01 - 57</t>
  </si>
  <si>
    <t>SUM</t>
  </si>
  <si>
    <t>Sum 46 - 57</t>
  </si>
  <si>
    <t>Slutanvendelser</t>
  </si>
  <si>
    <t>TJ</t>
  </si>
  <si>
    <t>Anden varme op til 150°C</t>
  </si>
  <si>
    <t>Anden varme over 150°C</t>
  </si>
  <si>
    <t>Arbejdskørsel</t>
  </si>
  <si>
    <t>Elforbrug, fordelt på slutanvendelser</t>
  </si>
  <si>
    <t>Slutanvendelse af energi fordelt på energiart år 2012. Branche 1 Landbrug</t>
  </si>
  <si>
    <t>Motorbenzin, blyfri</t>
  </si>
  <si>
    <t>Energiforbrug i GJ fordelt på sektorer, hovedenergiart og slutanvendelse</t>
  </si>
  <si>
    <t xml:space="preserve">Kontrol </t>
  </si>
  <si>
    <t>diff</t>
  </si>
  <si>
    <t>Handel</t>
  </si>
  <si>
    <t>Service</t>
  </si>
  <si>
    <t>Sum 46 - 48</t>
  </si>
  <si>
    <t>Sum 49 - 57</t>
  </si>
  <si>
    <t>Brændels-, fjernvarme- og varmepumpeforbrug, fordelt på slutanvendelser</t>
  </si>
  <si>
    <t>Sum 06 - 45</t>
  </si>
  <si>
    <t>Sum 06 - 15</t>
  </si>
  <si>
    <t>Sum 16 - 20</t>
  </si>
  <si>
    <t>Sum 21 - 25</t>
  </si>
  <si>
    <t>Sum 26 - 32</t>
  </si>
  <si>
    <t>Sum 33 - 41</t>
  </si>
  <si>
    <t>Sum 42 - 45</t>
  </si>
  <si>
    <t>Samlet</t>
  </si>
  <si>
    <t>ks</t>
  </si>
  <si>
    <t>I ALT</t>
  </si>
  <si>
    <t>2012</t>
  </si>
  <si>
    <t>Slutanvendelse af energi fordelt på energiart år 2012. Branche 19 Papirindustri (170000)</t>
  </si>
  <si>
    <t>170000 Papirindustri</t>
  </si>
  <si>
    <t>Petroleums-koks</t>
  </si>
  <si>
    <t>Fyrings-gasolie</t>
  </si>
  <si>
    <t>Motorbenzin farvet</t>
  </si>
  <si>
    <t>Motorbenzin blyfri</t>
  </si>
  <si>
    <t>Dieselolie</t>
  </si>
  <si>
    <t>rest</t>
  </si>
  <si>
    <t>Kontrol, dst data træk</t>
  </si>
  <si>
    <t>Slutanvendelse af energi fordelt på energiart år 2012. Branche 8 Fiskeindustri (100020)</t>
  </si>
  <si>
    <t>100020 Fiskeindustri</t>
  </si>
  <si>
    <t>Slutanvendelse af energi fordelt på energiart år 2012. Branche 11 Fremstilling af færdige foderblandinger</t>
  </si>
  <si>
    <t>Slutanvendelse af energi fordelt på energiart år 2012. Branche 28 Fremstilling af cement</t>
  </si>
  <si>
    <t>overflade tab fra rotationsovne</t>
  </si>
  <si>
    <t>Slutanvendelse af energi fordelt på energiart år 2012. Branche 30 Fremstilling af asfalt og tagpap</t>
  </si>
  <si>
    <t>Slutanvendelse af energi fordelt på energiart år 2012. Branche 37 Fremst. af husholdningsapparater, lamper mv. (270030)</t>
  </si>
  <si>
    <t>270030 Fremst. af husholdningsapparater, lamper mv.</t>
  </si>
  <si>
    <t>Slutanvendelse af energi fordelt på energiart år 2012. Branche 38 Fremstilling af motorer, vindmøller og pumper (280010)</t>
  </si>
  <si>
    <t>280010 Fremst. af motorer, vindmøller og pumper</t>
  </si>
  <si>
    <t>Slutanvendelse af energi fordelt på energiart år 2012. Branche 45 Reparation og installation af maskiner og udstyr (330000)</t>
  </si>
  <si>
    <t>værktøj som svejsere, vinkelslibere, bore- &amp; skæreværktøj mv.</t>
  </si>
  <si>
    <t>330000 Reparation og installation af maskiner og udstyr</t>
  </si>
  <si>
    <t>Slutanvendelse af energi fordelt på energiart år 2012. Branche 44 Legetøj og anden fremstillingsvirksomhed (320020)</t>
  </si>
  <si>
    <t>Smeltning/støbning omfatter elforbrug til plaststøbemaskiner</t>
  </si>
  <si>
    <t>Øvrige elmotorer omfatter forbrug til kværne, transportbånd og pakkemaskiner</t>
  </si>
  <si>
    <t>Diesel er vurderet til transportanvendelse modsat tidligere opgørelser hvor det hovedsageligt var vurderet til rumvarme</t>
  </si>
  <si>
    <t>320020 Legetøj og anden fremstillingsvirksomhed</t>
  </si>
  <si>
    <t>Kontrol</t>
  </si>
  <si>
    <t>Slutanvendelse af energi fordelt på energiart år 2012. Branche 35 Fremst. Af computere og kommunikationsudstyr mv. (260010)</t>
  </si>
  <si>
    <t>260010 Fremst. af computere og kommunikationsudstyr mv.</t>
  </si>
  <si>
    <t>Slutanvendelse af energi fordelt på energiart år 2012. Branche 23 Øvrige basiskemikalier</t>
  </si>
  <si>
    <t>Slutanvendelse af energi fordelt på energiart år 2012. Branche 43 Fremstilling af medicinske instrumenter mv.</t>
  </si>
  <si>
    <t>320010 Fremst. af medicinske instrumenter mv.</t>
  </si>
  <si>
    <t>Fyringsgas-olie</t>
  </si>
  <si>
    <t>Slutanvendelse af energi fordelt på energiart år 2012. Branche 55 Rejsebureauer, rengøring og anden operationel service</t>
  </si>
  <si>
    <t>770000 Udlejning og leasing af materiel</t>
  </si>
  <si>
    <t>780000 Arbejdsformidling og vikarbureauer</t>
  </si>
  <si>
    <t>790000 Rejsebureauer</t>
  </si>
  <si>
    <t>800000 Vagt og sikkerhedstjeneste</t>
  </si>
  <si>
    <t>810000 Ejendomsservice, rengøring og anlægsgartnere</t>
  </si>
  <si>
    <t>820000 Anden operationel service</t>
  </si>
  <si>
    <t>Slutanvendelse af energi fordelt på energiart år 2012. Branche 54 Videnservice</t>
  </si>
  <si>
    <t>køkkenudstyr, elevatorer</t>
  </si>
  <si>
    <t>690010 Advokatvirksomhed</t>
  </si>
  <si>
    <t>690020 Revision og bogføring</t>
  </si>
  <si>
    <t>700000 Virksomhedskonsulenter</t>
  </si>
  <si>
    <t>710000 Arkitekter og rådgivende ingeniører</t>
  </si>
  <si>
    <t>720001 Forskning og udvikling, markedsmæssig</t>
  </si>
  <si>
    <t>730000 Reklame- og analysebureauer</t>
  </si>
  <si>
    <t>740000 Anden videnservice</t>
  </si>
  <si>
    <t>750000 Dyrlæger</t>
  </si>
  <si>
    <t>Slutanvendelse af energi fordelt på energiart år 2012. Branche 51 Information og kommunikation</t>
  </si>
  <si>
    <t>580010 Forlag</t>
  </si>
  <si>
    <t>580020 Udgivelse af computerspil og anden software</t>
  </si>
  <si>
    <t>590000 Produktion af film, tv og musik mv.</t>
  </si>
  <si>
    <t>600000 Radio- og tv-stationer</t>
  </si>
  <si>
    <t>610000 Telekommunikation</t>
  </si>
  <si>
    <t>620000 It-konsulenter mv.</t>
  </si>
  <si>
    <t>630000 Informationstjenester</t>
  </si>
  <si>
    <t>Slutanvendelse af energi fordelt på energiart år 2012. Branche 6 Indvinding af grus og sten (080090)</t>
  </si>
  <si>
    <t>080090 Indvinding af grus og sten</t>
  </si>
  <si>
    <t>Slutanvendelse af energi fordelt på energiart år 2012. Branche 16 Tekstilindustri (130000)</t>
  </si>
  <si>
    <t>Elvarme ved limning ved tæppefremstilling</t>
  </si>
  <si>
    <t>Der er regnet med en COP faktor på 4 for varmepumper.</t>
  </si>
  <si>
    <t>130000 Tekstilindustri</t>
  </si>
  <si>
    <t>Petroleum-skoks</t>
  </si>
  <si>
    <t>Slutanvendelse af energi fordelt på energiart år 2012. Branche 17 Beklædningsindustri samt Læder- og fodtøjsindustri (140000+150000)</t>
  </si>
  <si>
    <t>Presning og strygning af tøj samt befugtning via damp.</t>
  </si>
  <si>
    <t>140000 Beklædningsindustri</t>
  </si>
  <si>
    <t>150000 Læder- og fodtøjsindustri</t>
  </si>
  <si>
    <t>Slutanvendelse af energi fordelt på energiart år 2012. Branche 18 Træindustri (160000)</t>
  </si>
  <si>
    <t>Konditionering af træ</t>
  </si>
  <si>
    <t>Formning og presning af plader</t>
  </si>
  <si>
    <t>Der er regnet med en COP faktor på 4 for varmepumper</t>
  </si>
  <si>
    <t>160000 Træindustri</t>
  </si>
  <si>
    <t>Slutanvendelse af energi fordelt på energiart år 2012. Branche 26 Plast- og gummiindustri (220000)</t>
  </si>
  <si>
    <t>220000 Plast- og gummiindustri</t>
  </si>
  <si>
    <t>Slutanvendelse af energi fordelt på energiart år 2012. Branche 39 Fremstilling af andre maskiner (280020)</t>
  </si>
  <si>
    <t>Hærdning og udglødning af metal</t>
  </si>
  <si>
    <t>Svejsning</t>
  </si>
  <si>
    <t>Slutanvendelse af energi fordelt på energiart år 2012. Branche 40 Fremstilling af motorkøretøjer og dele hertil (290000)</t>
  </si>
  <si>
    <t>290000 Fremst. af motorkøretøjer og dele hertil</t>
  </si>
  <si>
    <t>Slutanvendelse af energi fordelt på energiart år 2012. Branche 41 Fremstilling af skibe og andre transportmidler</t>
  </si>
  <si>
    <t>Der er forudsat en COP faktor på 4 for varmepumper</t>
  </si>
  <si>
    <t>300000 Fremst. af skibe og andre transportmidler</t>
  </si>
  <si>
    <t>Slutanvendelse af energi fordelt på energiart år 2012. Branche 9 Bagerier, brødfabrikker mv. (100040)</t>
  </si>
  <si>
    <t>Bagning, samt tørring af stivelse</t>
  </si>
  <si>
    <t>100040 Bagerier, brødfabrikker mv.</t>
  </si>
  <si>
    <t>Slutanvendelse af energi fordelt på energiart år 2012. Branche 56 Kultur og fritid</t>
  </si>
  <si>
    <t>Motorbenzin,  blyfri</t>
  </si>
  <si>
    <t>900000 Teater, musik og kunst</t>
  </si>
  <si>
    <t>910001 Biblioteker, museer mv., markedsmæssig</t>
  </si>
  <si>
    <t>920000 Lotteri og andet spil</t>
  </si>
  <si>
    <t>930011 Sport, markedsmæssig</t>
  </si>
  <si>
    <t>930020 Forlystelsesparker og andre fritidsaktiviteter</t>
  </si>
  <si>
    <t>hyd:</t>
  </si>
  <si>
    <t>mad:</t>
  </si>
  <si>
    <t>Fyrings-
gasolie</t>
  </si>
  <si>
    <t>Slutanvendelse af energi fordelt på energiart år 2012. Branche 24 Fremst. af maling og sæbe mv. (200020)</t>
  </si>
  <si>
    <t>200020 Fremst. af maling og sæbe mv.</t>
  </si>
  <si>
    <t>Slutanvendelse af energi fordelt på energiart år 2012. Branche 21 Fremstilling af industrigasser</t>
  </si>
  <si>
    <t>Procesluftkompressorer</t>
  </si>
  <si>
    <t>Slutanvendelse af energi fordelt på energiart år 2012. Branche 14 Drikkevareindustri (110000)</t>
  </si>
  <si>
    <t>Slutanvendelse af energi fordelt på energiart år 2012. Branche 13 Øvring anden fødevareindustri</t>
  </si>
  <si>
    <t>Dampstripning</t>
  </si>
  <si>
    <t>Slutanvendelse af energi fordelt på energiart år 2012. Branche 12 Fremstilling af sukker</t>
  </si>
  <si>
    <t>Findeling</t>
  </si>
  <si>
    <t>Slutanvendelse af energi fordelt på energiart år 2012. Branche 48 Detailhandel (470000)</t>
  </si>
  <si>
    <t>470000 Detailhandel</t>
  </si>
  <si>
    <t>Slutanvendelse af energi fordelt på energiart år 2012. Branche 34 Metalvareindustri (250000)</t>
  </si>
  <si>
    <t>250000 Metalvareindustri</t>
  </si>
  <si>
    <t>Slutanvendelse af energi fordelt på energiart år 2012. Branche 7 Slagterier (100010)</t>
  </si>
  <si>
    <t>Svideovne</t>
  </si>
  <si>
    <t>100010 Slagterier</t>
  </si>
  <si>
    <t>Slutanvendelse af energi fordelt på energiart år 2012. Branche 5 Fiskeri (030000)</t>
  </si>
  <si>
    <t>Køkkener etc. på bådene</t>
  </si>
  <si>
    <t>030000 Fiskeri</t>
  </si>
  <si>
    <t>Slutanvendelse af energi fordelt på energiart år 2012. Branche 27 Glasindustri og keramisk industri (230010)</t>
  </si>
  <si>
    <t>Smeltning, varmholdelse, hærding og afspænding af glas og glasuld</t>
  </si>
  <si>
    <t>Slutanvendelse af energi fordelt på energiart år 2012. Branche 33 Fremstilling af metal (240000)</t>
  </si>
  <si>
    <t>Smeltning- og varmholdelse af metal</t>
  </si>
  <si>
    <t>240000 Fremst. af metal</t>
  </si>
  <si>
    <t>Slutanvendelse af energi fordelt på energiart år 2012. Branche 47 Engroshandel (460000)</t>
  </si>
  <si>
    <t>Slutanvendelse af energi fordelt på energiart år 2012. Branche 49 Hoteller mv. (550000)</t>
  </si>
  <si>
    <t>Slutanvendelse af energi fordelt på energiart år 2012. Branche 50 Restauranter (560000)</t>
  </si>
  <si>
    <t>Komfurer, opvaskemaskiner, ovne etc.</t>
  </si>
  <si>
    <t>Slutanvendelse af energi fordelt på energiart år 2012. Branche 52 Finansiering og forsikring</t>
  </si>
  <si>
    <t>Slutanvendelse af energi fordelt på energiart år 2012. Branche 53 Ejendomshandel og udlejning af erhvervsejendomme</t>
  </si>
  <si>
    <t>F.eks. køkkenudstyr</t>
  </si>
  <si>
    <t>Slutanvendelse af energi fordelt på energiart år 2012. Branche 57 Andre serviceydelser</t>
  </si>
  <si>
    <t>Slutanvendelse af energi fordelt på energiart år 2012. Branche 9 Mejerier (100030)</t>
  </si>
  <si>
    <t>100030 Mejerier</t>
  </si>
  <si>
    <t>Slutanvendelse af energi fordelt på energiart år 2012. Branche 15 Tobaksindustri (120000)</t>
  </si>
  <si>
    <t>120000 Tobaksindustri</t>
  </si>
  <si>
    <t>Slutanvendelse af energi fordelt på energiart år 2012. Branche 20 Trykkerier mv. (180000)</t>
  </si>
  <si>
    <t>180000 Trykkerier mv.</t>
  </si>
  <si>
    <t>Slutanvendelse af energi fordelt på energiart år 2012. Branche 36 Fremst. Af andet elektronisk udstyr mv. (260020, 270010, 270020)</t>
  </si>
  <si>
    <t>260020 Fremst. af andet elektronisk udstyr</t>
  </si>
  <si>
    <t>270010 Fremst. af elektriske motorer mv.</t>
  </si>
  <si>
    <t>270020 Fremst. af ledninger og kabler</t>
  </si>
  <si>
    <t>Slutanvendelse af energi fordelt på energiart år 2012. Branche 42 Møbelindustri (310000)</t>
  </si>
  <si>
    <t>Øvrige elmotorer inkl. findeling</t>
  </si>
  <si>
    <t>310000 Møbelindustri</t>
  </si>
  <si>
    <t>Slutanvendelse af energi fordelt på energiart år 2012. Branche 32 Øvrige betonindustri</t>
  </si>
  <si>
    <t>Opvarmning af krympeposer, autoklavering</t>
  </si>
  <si>
    <t>Slutanvendelse af energi fordelt på energiart år 2012. Branche 31 Fremstilling af stenuld mv.</t>
  </si>
  <si>
    <t>Hærdning af stenuld og krympning af pakkefolie</t>
  </si>
  <si>
    <t>Slutanvendelse af energi fordelt på energiart år 2012. Branche 22 Fremstilling af enzymer</t>
  </si>
  <si>
    <t>Slutanvendelse af energi fordelt på energiart år 2012. Branche 25 Medicinalindustri (210000)</t>
  </si>
  <si>
    <t>Slutanvendelse af energi fordelt på energiart år 2012. Branche 29 Fremstilling af teglsten mv.</t>
  </si>
  <si>
    <t>Damp til ler</t>
  </si>
  <si>
    <t>Slutanvendelse af energi fordelt på energiart år 2012. Branche 4 Skovbrug (020000)</t>
  </si>
  <si>
    <t>Øvrige elmotorer (findeling)</t>
  </si>
  <si>
    <t>Slutanvendelse af energi fordelt på energiart år 2012. Branche 46 Bilhandel og -værksteder mv.</t>
  </si>
  <si>
    <t>450010 Bilhandel</t>
  </si>
  <si>
    <t>450020 Bilværksteder mv.</t>
  </si>
  <si>
    <t>Slutanvendelse af energi fordelt på energiart år 2011. Branche 2 Gartneri</t>
  </si>
  <si>
    <t>Omkring 85% af elforbruget til lys fortrænger energiforbrug til opvarmning (Anden procesvarme op til 150 °C) svarende til ca. 407.000 GJ.</t>
  </si>
  <si>
    <t>Slutanvendelse af energi fordelt på energiart år 2012. Branche 3 Maskinstationer</t>
  </si>
  <si>
    <t>Svejseapparater, lifte, højtryksrensere, diverse håndværktøj mv.</t>
  </si>
  <si>
    <t>Landbrug</t>
  </si>
  <si>
    <t>Gartneri</t>
  </si>
  <si>
    <t>Maskinstationer</t>
  </si>
  <si>
    <t>010000</t>
  </si>
  <si>
    <t>sum</t>
  </si>
  <si>
    <t>nr117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</si>
</sst>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 * #,##0_ ;_ * \-#,##0_ ;_ * &quot;-&quot;??_ ;_ @_ "/>
    <numFmt numFmtId="166" formatCode="#,##0.0"/>
    <numFmt numFmtId="167" formatCode="0.0"/>
    <numFmt numFmtId="168" formatCode="_ * #,##0.0_ ;_ * \-#,##0.0_ ;_ * &quot;-&quot;??_ ;_ @_ "/>
    <numFmt numFmtId="169" formatCode="0.0%"/>
    <numFmt numFmtId="170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5">
    <xf numFmtId="0" fontId="0" fillId="0" borderId="0" xfId="0"/>
    <xf numFmtId="0" fontId="0" fillId="0" borderId="0" xfId="0" applyAlignmen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/>
    <xf numFmtId="3" fontId="0" fillId="0" borderId="14" xfId="0" applyNumberFormat="1" applyBorder="1"/>
    <xf numFmtId="1" fontId="0" fillId="0" borderId="14" xfId="0" applyNumberFormat="1" applyBorder="1"/>
    <xf numFmtId="0" fontId="0" fillId="2" borderId="0" xfId="0" applyFill="1" applyBorder="1"/>
    <xf numFmtId="0" fontId="0" fillId="2" borderId="15" xfId="0" applyFill="1" applyBorder="1"/>
    <xf numFmtId="3" fontId="0" fillId="0" borderId="12" xfId="0" applyNumberFormat="1" applyBorder="1"/>
    <xf numFmtId="1" fontId="0" fillId="0" borderId="16" xfId="0" applyNumberFormat="1" applyBorder="1"/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2" borderId="4" xfId="0" applyFill="1" applyBorder="1"/>
    <xf numFmtId="165" fontId="0" fillId="2" borderId="0" xfId="0" applyNumberFormat="1" applyFill="1" applyBorder="1"/>
    <xf numFmtId="0" fontId="0" fillId="0" borderId="19" xfId="0" applyBorder="1" applyAlignment="1"/>
    <xf numFmtId="0" fontId="0" fillId="0" borderId="17" xfId="0" applyBorder="1" applyAlignme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2" borderId="1" xfId="0" applyFill="1" applyBorder="1"/>
    <xf numFmtId="3" fontId="0" fillId="0" borderId="18" xfId="0" applyNumberFormat="1" applyBorder="1"/>
    <xf numFmtId="1" fontId="0" fillId="0" borderId="18" xfId="0" applyNumberFormat="1" applyBorder="1"/>
    <xf numFmtId="0" fontId="0" fillId="2" borderId="22" xfId="0" applyFill="1" applyBorder="1"/>
    <xf numFmtId="1" fontId="0" fillId="0" borderId="23" xfId="0" applyNumberFormat="1" applyBorder="1"/>
    <xf numFmtId="0" fontId="0" fillId="0" borderId="8" xfId="0" applyBorder="1" applyAlignment="1"/>
    <xf numFmtId="3" fontId="0" fillId="0" borderId="1" xfId="0" applyNumberFormat="1" applyBorder="1"/>
    <xf numFmtId="0" fontId="2" fillId="0" borderId="24" xfId="0" applyFont="1" applyBorder="1" applyAlignment="1"/>
    <xf numFmtId="0" fontId="2" fillId="0" borderId="25" xfId="0" applyFont="1" applyBorder="1" applyAlignment="1">
      <alignment horizontal="center"/>
    </xf>
    <xf numFmtId="165" fontId="2" fillId="0" borderId="2" xfId="1" applyNumberFormat="1" applyFont="1" applyBorder="1"/>
    <xf numFmtId="3" fontId="2" fillId="0" borderId="25" xfId="0" applyNumberFormat="1" applyFont="1" applyBorder="1"/>
    <xf numFmtId="0" fontId="0" fillId="0" borderId="21" xfId="0" applyBorder="1"/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8" xfId="0" applyBorder="1"/>
    <xf numFmtId="0" fontId="0" fillId="0" borderId="22" xfId="0" applyBorder="1"/>
    <xf numFmtId="1" fontId="0" fillId="0" borderId="9" xfId="0" applyNumberFormat="1" applyBorder="1"/>
    <xf numFmtId="0" fontId="0" fillId="0" borderId="13" xfId="0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0" fillId="0" borderId="13" xfId="0" applyBorder="1"/>
    <xf numFmtId="0" fontId="0" fillId="0" borderId="20" xfId="0" applyBorder="1"/>
    <xf numFmtId="0" fontId="0" fillId="0" borderId="4" xfId="0" applyBorder="1" applyAlignment="1">
      <alignment horizontal="left"/>
    </xf>
    <xf numFmtId="0" fontId="5" fillId="0" borderId="0" xfId="0" applyFont="1" applyFill="1"/>
    <xf numFmtId="0" fontId="6" fillId="0" borderId="0" xfId="0" applyFont="1" applyFill="1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" fontId="0" fillId="0" borderId="0" xfId="0" applyNumberFormat="1"/>
    <xf numFmtId="0" fontId="0" fillId="0" borderId="0" xfId="0" applyFill="1"/>
    <xf numFmtId="0" fontId="0" fillId="0" borderId="4" xfId="0" applyBorder="1"/>
    <xf numFmtId="0" fontId="0" fillId="0" borderId="1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0" fontId="0" fillId="0" borderId="9" xfId="0" applyBorder="1"/>
    <xf numFmtId="0" fontId="0" fillId="0" borderId="10" xfId="0" applyBorder="1"/>
    <xf numFmtId="165" fontId="0" fillId="2" borderId="0" xfId="0" quotePrefix="1" applyNumberFormat="1" applyFill="1" applyBorder="1"/>
    <xf numFmtId="3" fontId="0" fillId="0" borderId="29" xfId="0" applyNumberFormat="1" applyBorder="1"/>
    <xf numFmtId="165" fontId="0" fillId="0" borderId="0" xfId="1" applyNumberFormat="1" applyFont="1"/>
    <xf numFmtId="165" fontId="0" fillId="0" borderId="0" xfId="1" applyNumberFormat="1" applyFont="1" applyAlignment="1"/>
    <xf numFmtId="165" fontId="0" fillId="0" borderId="0" xfId="0" applyNumberFormat="1"/>
    <xf numFmtId="164" fontId="0" fillId="0" borderId="0" xfId="1" applyFont="1"/>
    <xf numFmtId="0" fontId="6" fillId="0" borderId="0" xfId="0" applyFont="1" applyFill="1" applyBorder="1"/>
    <xf numFmtId="0" fontId="0" fillId="0" borderId="0" xfId="0" applyFont="1" applyBorder="1"/>
    <xf numFmtId="165" fontId="0" fillId="0" borderId="0" xfId="0" applyNumberFormat="1" applyFont="1" applyBorder="1"/>
    <xf numFmtId="0" fontId="0" fillId="0" borderId="0" xfId="0" applyFont="1" applyAlignment="1" applyProtection="1">
      <alignment horizontal="left"/>
      <protection locked="0"/>
    </xf>
    <xf numFmtId="165" fontId="0" fillId="0" borderId="0" xfId="1" applyNumberFormat="1" applyFont="1" applyFill="1" applyBorder="1"/>
    <xf numFmtId="0" fontId="0" fillId="0" borderId="0" xfId="0" applyFont="1"/>
    <xf numFmtId="0" fontId="7" fillId="0" borderId="0" xfId="0" applyFont="1" applyBorder="1" applyAlignment="1">
      <alignment vertical="top"/>
    </xf>
    <xf numFmtId="165" fontId="7" fillId="0" borderId="0" xfId="0" applyNumberFormat="1" applyFont="1" applyBorder="1" applyAlignment="1">
      <alignment vertical="top"/>
    </xf>
    <xf numFmtId="0" fontId="0" fillId="0" borderId="0" xfId="0" applyFill="1" applyBorder="1" applyAlignment="1">
      <alignment horizontal="center" wrapText="1"/>
    </xf>
    <xf numFmtId="165" fontId="2" fillId="0" borderId="2" xfId="1" applyNumberFormat="1" applyFont="1" applyFill="1" applyBorder="1"/>
    <xf numFmtId="165" fontId="0" fillId="0" borderId="26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165" fontId="0" fillId="0" borderId="15" xfId="1" applyNumberFormat="1" applyFont="1" applyBorder="1"/>
    <xf numFmtId="165" fontId="0" fillId="0" borderId="13" xfId="1" applyNumberFormat="1" applyFont="1" applyBorder="1"/>
    <xf numFmtId="3" fontId="0" fillId="0" borderId="0" xfId="0" applyNumberFormat="1"/>
    <xf numFmtId="1" fontId="0" fillId="0" borderId="15" xfId="0" applyNumberFormat="1" applyBorder="1"/>
    <xf numFmtId="1" fontId="0" fillId="0" borderId="22" xfId="0" applyNumberFormat="1" applyBorder="1"/>
    <xf numFmtId="165" fontId="0" fillId="0" borderId="1" xfId="1" applyNumberFormat="1" applyFont="1" applyBorder="1"/>
    <xf numFmtId="165" fontId="0" fillId="0" borderId="4" xfId="0" applyNumberFormat="1" applyBorder="1"/>
    <xf numFmtId="165" fontId="0" fillId="0" borderId="0" xfId="0" applyNumberFormat="1" applyBorder="1"/>
    <xf numFmtId="0" fontId="2" fillId="0" borderId="0" xfId="0" applyFont="1"/>
    <xf numFmtId="0" fontId="2" fillId="0" borderId="14" xfId="0" applyFont="1" applyBorder="1"/>
    <xf numFmtId="165" fontId="0" fillId="0" borderId="15" xfId="0" applyNumberFormat="1" applyBorder="1"/>
    <xf numFmtId="165" fontId="0" fillId="0" borderId="20" xfId="0" applyNumberFormat="1" applyBorder="1"/>
    <xf numFmtId="165" fontId="0" fillId="0" borderId="22" xfId="0" applyNumberFormat="1" applyBorder="1"/>
    <xf numFmtId="165" fontId="0" fillId="0" borderId="15" xfId="1" applyNumberFormat="1" applyFont="1" applyFill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4" xfId="0" applyFill="1" applyBorder="1"/>
    <xf numFmtId="165" fontId="0" fillId="0" borderId="22" xfId="1" applyNumberFormat="1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165" fontId="2" fillId="0" borderId="0" xfId="1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5" xfId="0" applyNumberFormat="1" applyBorder="1"/>
    <xf numFmtId="165" fontId="0" fillId="0" borderId="20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2" borderId="13" xfId="0" applyNumberFormat="1" applyFill="1" applyBorder="1"/>
    <xf numFmtId="1" fontId="0" fillId="2" borderId="0" xfId="0" applyNumberFormat="1" applyFill="1" applyBorder="1"/>
    <xf numFmtId="1" fontId="0" fillId="2" borderId="15" xfId="0" applyNumberFormat="1" applyFill="1" applyBorder="1"/>
    <xf numFmtId="1" fontId="0" fillId="2" borderId="4" xfId="0" applyNumberFormat="1" applyFill="1" applyBorder="1"/>
    <xf numFmtId="1" fontId="0" fillId="2" borderId="1" xfId="0" applyNumberFormat="1" applyFill="1" applyBorder="1"/>
    <xf numFmtId="1" fontId="0" fillId="2" borderId="22" xfId="0" applyNumberFormat="1" applyFill="1" applyBorder="1"/>
    <xf numFmtId="166" fontId="0" fillId="0" borderId="1" xfId="0" applyNumberFormat="1" applyBorder="1"/>
    <xf numFmtId="1" fontId="0" fillId="0" borderId="12" xfId="0" applyNumberFormat="1" applyBorder="1"/>
    <xf numFmtId="165" fontId="2" fillId="0" borderId="30" xfId="1" applyNumberFormat="1" applyFont="1" applyBorder="1" applyAlignment="1" applyProtection="1">
      <alignment horizontal="right"/>
      <protection locked="0"/>
    </xf>
    <xf numFmtId="0" fontId="9" fillId="0" borderId="0" xfId="0" applyFont="1" applyFill="1"/>
    <xf numFmtId="165" fontId="0" fillId="2" borderId="4" xfId="0" applyNumberForma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8" xfId="0" applyFont="1" applyBorder="1" applyAlignment="1"/>
    <xf numFmtId="0" fontId="0" fillId="0" borderId="12" xfId="0" applyBorder="1" applyAlignment="1">
      <alignment horizontal="left"/>
    </xf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3" fontId="10" fillId="0" borderId="14" xfId="0" applyNumberFormat="1" applyFont="1" applyBorder="1"/>
    <xf numFmtId="3" fontId="11" fillId="0" borderId="25" xfId="0" applyNumberFormat="1" applyFont="1" applyBorder="1"/>
    <xf numFmtId="3" fontId="0" fillId="2" borderId="1" xfId="0" applyNumberFormat="1" applyFill="1" applyBorder="1"/>
    <xf numFmtId="9" fontId="0" fillId="0" borderId="0" xfId="2" applyFont="1"/>
    <xf numFmtId="1" fontId="0" fillId="2" borderId="13" xfId="2" applyNumberFormat="1" applyFont="1" applyFill="1" applyBorder="1"/>
    <xf numFmtId="1" fontId="0" fillId="2" borderId="0" xfId="2" applyNumberFormat="1" applyFont="1" applyFill="1" applyBorder="1"/>
    <xf numFmtId="1" fontId="0" fillId="2" borderId="15" xfId="2" applyNumberFormat="1" applyFont="1" applyFill="1" applyBorder="1"/>
    <xf numFmtId="1" fontId="0" fillId="2" borderId="4" xfId="2" applyNumberFormat="1" applyFont="1" applyFill="1" applyBorder="1"/>
    <xf numFmtId="1" fontId="0" fillId="2" borderId="1" xfId="2" applyNumberFormat="1" applyFont="1" applyFill="1" applyBorder="1"/>
    <xf numFmtId="1" fontId="0" fillId="2" borderId="5" xfId="2" applyNumberFormat="1" applyFont="1" applyFill="1" applyBorder="1"/>
    <xf numFmtId="1" fontId="0" fillId="2" borderId="22" xfId="2" applyNumberFormat="1" applyFont="1" applyFill="1" applyBorder="1"/>
    <xf numFmtId="1" fontId="0" fillId="0" borderId="1" xfId="2" applyNumberFormat="1" applyFont="1" applyBorder="1"/>
    <xf numFmtId="165" fontId="0" fillId="0" borderId="14" xfId="1" applyNumberFormat="1" applyFont="1" applyBorder="1"/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10" fontId="0" fillId="0" borderId="0" xfId="2" applyNumberFormat="1" applyFont="1"/>
    <xf numFmtId="3" fontId="10" fillId="0" borderId="18" xfId="0" applyNumberFormat="1" applyFont="1" applyBorder="1"/>
    <xf numFmtId="1" fontId="0" fillId="2" borderId="5" xfId="0" applyNumberFormat="1" applyFill="1" applyBorder="1"/>
    <xf numFmtId="167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8" xfId="0" applyFill="1" applyBorder="1" applyAlignment="1">
      <alignment horizontal="left"/>
    </xf>
    <xf numFmtId="0" fontId="8" fillId="0" borderId="0" xfId="0" applyFont="1" applyFill="1"/>
    <xf numFmtId="0" fontId="1" fillId="0" borderId="0" xfId="0" applyFont="1" applyAlignment="1" applyProtection="1">
      <alignment horizontal="right"/>
      <protection locked="0"/>
    </xf>
    <xf numFmtId="0" fontId="8" fillId="0" borderId="0" xfId="0" applyFont="1"/>
    <xf numFmtId="0" fontId="12" fillId="0" borderId="0" xfId="0" applyFont="1" applyFill="1"/>
    <xf numFmtId="0" fontId="12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0" fillId="2" borderId="13" xfId="0" applyFont="1" applyFill="1" applyBorder="1"/>
    <xf numFmtId="0" fontId="10" fillId="2" borderId="0" xfId="0" applyFont="1" applyFill="1" applyBorder="1"/>
    <xf numFmtId="0" fontId="0" fillId="0" borderId="0" xfId="0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1" applyFont="1"/>
    <xf numFmtId="165" fontId="0" fillId="2" borderId="0" xfId="0" applyNumberFormat="1" applyFill="1" applyBorder="1" applyAlignment="1">
      <alignment horizontal="right"/>
    </xf>
    <xf numFmtId="168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3" fontId="2" fillId="0" borderId="0" xfId="0" applyNumberFormat="1" applyFont="1" applyBorder="1"/>
    <xf numFmtId="165" fontId="2" fillId="0" borderId="0" xfId="1" applyNumberFormat="1" applyFont="1" applyBorder="1"/>
    <xf numFmtId="165" fontId="2" fillId="0" borderId="0" xfId="1" applyNumberFormat="1" applyFont="1" applyBorder="1" applyAlignment="1" applyProtection="1">
      <alignment horizontal="right"/>
      <protection locked="0"/>
    </xf>
    <xf numFmtId="165" fontId="2" fillId="0" borderId="0" xfId="0" applyNumberFormat="1" applyFont="1"/>
    <xf numFmtId="0" fontId="0" fillId="2" borderId="13" xfId="0" applyFill="1" applyBorder="1" applyAlignment="1">
      <alignment wrapText="1"/>
    </xf>
    <xf numFmtId="0" fontId="0" fillId="2" borderId="1" xfId="0" applyFill="1" applyBorder="1" applyAlignment="1">
      <alignment horizontal="right"/>
    </xf>
    <xf numFmtId="3" fontId="0" fillId="0" borderId="9" xfId="0" applyNumberFormat="1" applyBorder="1"/>
    <xf numFmtId="169" fontId="0" fillId="0" borderId="0" xfId="2" applyNumberFormat="1" applyFont="1"/>
    <xf numFmtId="164" fontId="0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 wrapText="1"/>
    </xf>
    <xf numFmtId="165" fontId="2" fillId="0" borderId="13" xfId="1" applyNumberFormat="1" applyFont="1" applyBorder="1"/>
    <xf numFmtId="0" fontId="0" fillId="0" borderId="6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0" fillId="0" borderId="31" xfId="0" applyFill="1" applyBorder="1" applyAlignment="1">
      <alignment horizontal="center" wrapText="1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167" fontId="0" fillId="2" borderId="0" xfId="0" applyNumberFormat="1" applyFill="1" applyBorder="1"/>
    <xf numFmtId="0" fontId="0" fillId="2" borderId="5" xfId="0" applyFill="1" applyBorder="1"/>
    <xf numFmtId="167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14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34" xfId="0" applyNumberFormat="1" applyBorder="1"/>
    <xf numFmtId="3" fontId="0" fillId="0" borderId="18" xfId="0" applyNumberFormat="1" applyBorder="1" applyAlignment="1">
      <alignment horizontal="right"/>
    </xf>
    <xf numFmtId="1" fontId="0" fillId="0" borderId="18" xfId="0" applyNumberFormat="1" applyBorder="1" applyAlignment="1">
      <alignment horizontal="right"/>
    </xf>
    <xf numFmtId="1" fontId="0" fillId="0" borderId="35" xfId="0" applyNumberFormat="1" applyBorder="1"/>
    <xf numFmtId="168" fontId="0" fillId="0" borderId="0" xfId="0" applyNumberFormat="1"/>
    <xf numFmtId="0" fontId="0" fillId="0" borderId="0" xfId="0" applyFill="1" applyBorder="1" applyAlignment="1">
      <alignment horizontal="center"/>
    </xf>
    <xf numFmtId="168" fontId="0" fillId="0" borderId="0" xfId="1" applyNumberFormat="1" applyFont="1" applyAlignment="1" applyProtection="1">
      <alignment horizontal="right"/>
      <protection locked="0"/>
    </xf>
    <xf numFmtId="164" fontId="0" fillId="0" borderId="0" xfId="1" applyNumberFormat="1" applyFont="1"/>
    <xf numFmtId="0" fontId="0" fillId="2" borderId="0" xfId="0" applyNumberFormat="1" applyFill="1" applyBorder="1"/>
    <xf numFmtId="0" fontId="0" fillId="2" borderId="1" xfId="0" applyNumberFormat="1" applyFill="1" applyBorder="1"/>
    <xf numFmtId="0" fontId="0" fillId="0" borderId="29" xfId="0" applyBorder="1" applyAlignment="1">
      <alignment horizontal="center"/>
    </xf>
    <xf numFmtId="3" fontId="2" fillId="0" borderId="2" xfId="0" applyNumberFormat="1" applyFont="1" applyBorder="1"/>
    <xf numFmtId="3" fontId="2" fillId="0" borderId="36" xfId="0" applyNumberFormat="1" applyFont="1" applyBorder="1"/>
    <xf numFmtId="9" fontId="0" fillId="0" borderId="8" xfId="2" applyFont="1" applyBorder="1" applyAlignment="1"/>
    <xf numFmtId="9" fontId="0" fillId="0" borderId="18" xfId="2" applyFont="1" applyBorder="1" applyAlignment="1">
      <alignment horizontal="center"/>
    </xf>
    <xf numFmtId="3" fontId="0" fillId="0" borderId="14" xfId="2" applyNumberFormat="1" applyFont="1" applyBorder="1"/>
    <xf numFmtId="1" fontId="0" fillId="0" borderId="14" xfId="2" applyNumberFormat="1" applyFont="1" applyBorder="1"/>
    <xf numFmtId="3" fontId="0" fillId="0" borderId="18" xfId="2" applyNumberFormat="1" applyFont="1" applyBorder="1"/>
    <xf numFmtId="1" fontId="0" fillId="0" borderId="23" xfId="2" applyNumberFormat="1" applyFont="1" applyBorder="1"/>
    <xf numFmtId="0" fontId="10" fillId="0" borderId="0" xfId="0" applyFont="1" applyFill="1" applyBorder="1" applyAlignment="1">
      <alignment horizontal="center"/>
    </xf>
    <xf numFmtId="0" fontId="10" fillId="0" borderId="5" xfId="0" applyFont="1" applyBorder="1"/>
    <xf numFmtId="0" fontId="10" fillId="0" borderId="1" xfId="0" applyFont="1" applyBorder="1"/>
    <xf numFmtId="1" fontId="10" fillId="2" borderId="0" xfId="0" applyNumberFormat="1" applyFont="1" applyFill="1" applyBorder="1"/>
    <xf numFmtId="167" fontId="10" fillId="2" borderId="0" xfId="0" applyNumberFormat="1" applyFont="1" applyFill="1" applyBorder="1"/>
    <xf numFmtId="3" fontId="0" fillId="0" borderId="10" xfId="0" applyNumberFormat="1" applyBorder="1"/>
    <xf numFmtId="3" fontId="0" fillId="0" borderId="27" xfId="0" applyNumberFormat="1" applyBorder="1"/>
    <xf numFmtId="3" fontId="0" fillId="0" borderId="28" xfId="0" applyNumberFormat="1" applyBorder="1"/>
    <xf numFmtId="0" fontId="8" fillId="0" borderId="0" xfId="0" applyFont="1" applyBorder="1"/>
    <xf numFmtId="165" fontId="0" fillId="3" borderId="0" xfId="0" applyNumberFormat="1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22" xfId="0" applyFill="1" applyBorder="1"/>
    <xf numFmtId="3" fontId="0" fillId="3" borderId="1" xfId="0" applyNumberFormat="1" applyFill="1" applyBorder="1"/>
    <xf numFmtId="165" fontId="2" fillId="3" borderId="2" xfId="1" applyNumberFormat="1" applyFont="1" applyFill="1" applyBorder="1"/>
    <xf numFmtId="165" fontId="6" fillId="0" borderId="0" xfId="0" applyNumberFormat="1" applyFont="1" applyFill="1"/>
    <xf numFmtId="165" fontId="0" fillId="4" borderId="0" xfId="1" applyNumberFormat="1" applyFont="1" applyFill="1"/>
    <xf numFmtId="165" fontId="0" fillId="2" borderId="5" xfId="0" applyNumberFormat="1" applyFill="1" applyBorder="1"/>
    <xf numFmtId="0" fontId="10" fillId="2" borderId="1" xfId="0" applyFont="1" applyFill="1" applyBorder="1"/>
    <xf numFmtId="0" fontId="0" fillId="0" borderId="4" xfId="0" applyFill="1" applyBorder="1" applyAlignment="1">
      <alignment horizontal="center"/>
    </xf>
    <xf numFmtId="0" fontId="0" fillId="4" borderId="0" xfId="0" applyFill="1"/>
    <xf numFmtId="165" fontId="0" fillId="4" borderId="0" xfId="0" applyNumberFormat="1" applyFill="1"/>
    <xf numFmtId="165" fontId="0" fillId="4" borderId="0" xfId="1" applyNumberFormat="1" applyFont="1" applyFill="1" applyBorder="1"/>
    <xf numFmtId="1" fontId="0" fillId="0" borderId="5" xfId="0" applyNumberFormat="1" applyBorder="1"/>
    <xf numFmtId="0" fontId="0" fillId="0" borderId="0" xfId="0" applyBorder="1" applyAlignment="1">
      <alignment horizontal="center"/>
    </xf>
    <xf numFmtId="16" fontId="3" fillId="0" borderId="2" xfId="0" applyNumberFormat="1" applyFont="1" applyFill="1" applyBorder="1" applyAlignment="1">
      <alignment horizontal="center"/>
    </xf>
    <xf numFmtId="165" fontId="0" fillId="0" borderId="4" xfId="1" applyNumberFormat="1" applyFont="1" applyFill="1" applyBorder="1"/>
    <xf numFmtId="0" fontId="0" fillId="0" borderId="0" xfId="0" quotePrefix="1" applyBorder="1" applyAlignment="1">
      <alignment horizontal="left"/>
    </xf>
    <xf numFmtId="170" fontId="0" fillId="0" borderId="0" xfId="0" applyNumberFormat="1"/>
    <xf numFmtId="0" fontId="0" fillId="0" borderId="13" xfId="0" applyFill="1" applyBorder="1"/>
    <xf numFmtId="165" fontId="0" fillId="0" borderId="26" xfId="1" applyNumberFormat="1" applyFont="1" applyFill="1" applyBorder="1"/>
    <xf numFmtId="165" fontId="0" fillId="0" borderId="5" xfId="1" applyNumberFormat="1" applyFont="1" applyFill="1" applyBorder="1"/>
    <xf numFmtId="1" fontId="0" fillId="0" borderId="0" xfId="0" applyNumberFormat="1" applyFill="1"/>
    <xf numFmtId="16" fontId="13" fillId="0" borderId="2" xfId="0" applyNumberFormat="1" applyFont="1" applyFill="1" applyBorder="1" applyAlignment="1">
      <alignment horizontal="center"/>
    </xf>
    <xf numFmtId="168" fontId="0" fillId="0" borderId="0" xfId="0" applyNumberFormat="1" applyBorder="1"/>
    <xf numFmtId="168" fontId="0" fillId="0" borderId="1" xfId="0" applyNumberFormat="1" applyBorder="1"/>
    <xf numFmtId="167" fontId="0" fillId="0" borderId="0" xfId="0" applyNumberFormat="1" applyBorder="1"/>
    <xf numFmtId="167" fontId="0" fillId="0" borderId="1" xfId="0" applyNumberFormat="1" applyBorder="1"/>
    <xf numFmtId="167" fontId="0" fillId="0" borderId="15" xfId="0" applyNumberFormat="1" applyBorder="1"/>
    <xf numFmtId="167" fontId="0" fillId="0" borderId="22" xfId="0" applyNumberFormat="1" applyBorder="1"/>
    <xf numFmtId="167" fontId="0" fillId="0" borderId="13" xfId="0" applyNumberFormat="1" applyBorder="1"/>
    <xf numFmtId="167" fontId="0" fillId="0" borderId="20" xfId="0" applyNumberFormat="1" applyBorder="1"/>
    <xf numFmtId="1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5"/>
  <sheetViews>
    <sheetView zoomScale="80" zoomScaleNormal="80" workbookViewId="0">
      <selection activeCell="U4" sqref="U4"/>
    </sheetView>
  </sheetViews>
  <sheetFormatPr defaultRowHeight="15" x14ac:dyDescent="0.25"/>
  <cols>
    <col min="1" max="1" width="38.42578125" customWidth="1"/>
    <col min="2" max="2" width="6.85546875" customWidth="1"/>
    <col min="3" max="3" width="8.7109375" customWidth="1"/>
    <col min="4" max="4" width="14" customWidth="1"/>
    <col min="5" max="5" width="13.85546875" customWidth="1"/>
    <col min="6" max="6" width="14.7109375" customWidth="1"/>
    <col min="7" max="7" width="8.140625" customWidth="1"/>
    <col min="8" max="8" width="9.140625" customWidth="1"/>
    <col min="9" max="9" width="12.28515625" customWidth="1"/>
    <col min="10" max="10" width="9.7109375" customWidth="1"/>
    <col min="11" max="11" width="6.85546875" customWidth="1"/>
    <col min="12" max="12" width="7.28515625" customWidth="1"/>
    <col min="13" max="13" width="7" customWidth="1"/>
    <col min="14" max="14" width="8.5703125" customWidth="1"/>
    <col min="15" max="15" width="13.42578125" customWidth="1"/>
    <col min="16" max="16" width="7.85546875" customWidth="1"/>
    <col min="17" max="17" width="8" customWidth="1"/>
    <col min="18" max="18" width="7" bestFit="1" customWidth="1"/>
    <col min="19" max="19" width="10" customWidth="1"/>
    <col min="20" max="20" width="7.7109375" customWidth="1"/>
    <col min="21" max="21" width="8.7109375" customWidth="1"/>
    <col min="22" max="22" width="11.42578125" customWidth="1"/>
    <col min="23" max="23" width="10" customWidth="1"/>
    <col min="24" max="24" width="14.42578125" customWidth="1"/>
    <col min="25" max="25" width="10.140625" customWidth="1"/>
    <col min="26" max="26" width="7.28515625" customWidth="1"/>
    <col min="27" max="27" width="1.85546875" customWidth="1"/>
  </cols>
  <sheetData>
    <row r="1" spans="1:29" ht="15" customHeight="1" x14ac:dyDescent="0.25">
      <c r="A1" s="325" t="s">
        <v>59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7</v>
      </c>
      <c r="I4" s="5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327" t="s">
        <v>18</v>
      </c>
      <c r="T4" s="328"/>
      <c r="U4" s="4" t="s">
        <v>19</v>
      </c>
      <c r="V4" s="6" t="s">
        <v>20</v>
      </c>
      <c r="W4" s="7" t="s">
        <v>21</v>
      </c>
      <c r="X4" s="7" t="s">
        <v>22</v>
      </c>
      <c r="Y4" s="329" t="s">
        <v>23</v>
      </c>
      <c r="Z4" s="330"/>
      <c r="AA4" s="8"/>
      <c r="AB4" s="8"/>
      <c r="AC4" s="8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5" t="s">
        <v>25</v>
      </c>
      <c r="U5" s="15" t="s">
        <v>25</v>
      </c>
      <c r="V5" s="15" t="s">
        <v>25</v>
      </c>
      <c r="W5" s="15" t="s">
        <v>25</v>
      </c>
      <c r="X5" s="1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0</v>
      </c>
      <c r="T6" s="21">
        <f>IF(S6=0,0,S6*100/$S$31)</f>
        <v>0</v>
      </c>
      <c r="U6" s="22"/>
      <c r="V6" s="22"/>
      <c r="W6" s="22"/>
      <c r="X6" s="23"/>
      <c r="Y6" s="24">
        <f>U6/100*$U$31+V6/100*$V$31+W6/100*$W$31+X6/100*$X$31+S6</f>
        <v>0</v>
      </c>
      <c r="Z6" s="25">
        <f>IF(Y6=0,0,Y6*100/$Y$31)</f>
        <v>0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0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1">IF(S7=0,0,S7*100/$S$31)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ref="Z7:Z29" si="3">IF(Y7=0,0,Y7*100/$Y$31)</f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0"/>
        <v>0</v>
      </c>
      <c r="T8" s="21">
        <f t="shared" si="1"/>
        <v>0</v>
      </c>
      <c r="U8" s="22"/>
      <c r="V8" s="22"/>
      <c r="W8" s="22"/>
      <c r="X8" s="23"/>
      <c r="Y8" s="20">
        <f t="shared" si="2"/>
        <v>0</v>
      </c>
      <c r="Z8" s="25">
        <f t="shared" si="3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0"/>
        <v>0</v>
      </c>
      <c r="T9" s="21">
        <f t="shared" si="1"/>
        <v>0</v>
      </c>
      <c r="U9" s="22"/>
      <c r="V9" s="22"/>
      <c r="W9" s="22"/>
      <c r="X9" s="23"/>
      <c r="Y9" s="20">
        <f t="shared" si="2"/>
        <v>0</v>
      </c>
      <c r="Z9" s="25">
        <f t="shared" si="3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0"/>
        <v>0</v>
      </c>
      <c r="T10" s="21">
        <f t="shared" si="1"/>
        <v>0</v>
      </c>
      <c r="U10" s="22"/>
      <c r="V10" s="22"/>
      <c r="W10" s="22"/>
      <c r="X10" s="23"/>
      <c r="Y10" s="20">
        <f t="shared" si="2"/>
        <v>0</v>
      </c>
      <c r="Z10" s="25">
        <f t="shared" si="3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0"/>
        <v>0</v>
      </c>
      <c r="T11" s="21">
        <f t="shared" si="1"/>
        <v>0</v>
      </c>
      <c r="U11" s="22"/>
      <c r="V11" s="22"/>
      <c r="W11" s="22"/>
      <c r="X11" s="23"/>
      <c r="Y11" s="20">
        <f t="shared" si="2"/>
        <v>0</v>
      </c>
      <c r="Z11" s="25">
        <f t="shared" si="3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0"/>
        <v>0</v>
      </c>
      <c r="T12" s="21">
        <f t="shared" si="1"/>
        <v>0</v>
      </c>
      <c r="U12" s="22"/>
      <c r="V12" s="22"/>
      <c r="W12" s="22"/>
      <c r="X12" s="23"/>
      <c r="Y12" s="20">
        <f t="shared" si="2"/>
        <v>0</v>
      </c>
      <c r="Z12" s="25">
        <f t="shared" si="3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0"/>
        <v>0</v>
      </c>
      <c r="T13" s="21">
        <f t="shared" si="1"/>
        <v>0</v>
      </c>
      <c r="U13" s="22"/>
      <c r="V13" s="22"/>
      <c r="W13" s="22"/>
      <c r="X13" s="23"/>
      <c r="Y13" s="20">
        <f t="shared" si="2"/>
        <v>0</v>
      </c>
      <c r="Z13" s="25">
        <f t="shared" si="3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0"/>
        <v>0</v>
      </c>
      <c r="T14" s="21">
        <f t="shared" si="1"/>
        <v>0</v>
      </c>
      <c r="U14" s="22"/>
      <c r="V14" s="22"/>
      <c r="W14" s="22"/>
      <c r="X14" s="23"/>
      <c r="Y14" s="20">
        <f t="shared" si="2"/>
        <v>0</v>
      </c>
      <c r="Z14" s="25">
        <f t="shared" si="3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0"/>
        <v>0</v>
      </c>
      <c r="T15" s="21">
        <f t="shared" si="1"/>
        <v>0</v>
      </c>
      <c r="U15" s="22"/>
      <c r="V15" s="33"/>
      <c r="W15" s="33"/>
      <c r="X15" s="23"/>
      <c r="Y15" s="20">
        <f t="shared" si="2"/>
        <v>0</v>
      </c>
      <c r="Z15" s="25">
        <f t="shared" si="3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0"/>
        <v>0</v>
      </c>
      <c r="T16" s="21">
        <f t="shared" si="1"/>
        <v>0</v>
      </c>
      <c r="U16" s="22"/>
      <c r="V16" s="33"/>
      <c r="W16" s="33"/>
      <c r="X16" s="23"/>
      <c r="Y16" s="20">
        <f t="shared" si="2"/>
        <v>0</v>
      </c>
      <c r="Z16" s="25">
        <f t="shared" si="3"/>
        <v>0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0">
        <f t="shared" si="0"/>
        <v>0</v>
      </c>
      <c r="T17" s="21">
        <f t="shared" si="1"/>
        <v>0</v>
      </c>
      <c r="U17" s="33"/>
      <c r="V17" s="22"/>
      <c r="W17" s="22"/>
      <c r="X17" s="23"/>
      <c r="Y17" s="20">
        <f t="shared" si="2"/>
        <v>0</v>
      </c>
      <c r="Z17" s="25">
        <f t="shared" si="3"/>
        <v>0</v>
      </c>
    </row>
    <row r="18" spans="1:27" x14ac:dyDescent="0.25">
      <c r="A18" s="35" t="s">
        <v>38</v>
      </c>
      <c r="B18" s="3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0"/>
        <v>0</v>
      </c>
      <c r="T18" s="21">
        <f t="shared" si="1"/>
        <v>0</v>
      </c>
      <c r="U18" s="33"/>
      <c r="V18" s="22"/>
      <c r="W18" s="22"/>
      <c r="X18" s="23"/>
      <c r="Y18" s="20">
        <f t="shared" si="2"/>
        <v>0</v>
      </c>
      <c r="Z18" s="25">
        <f t="shared" si="3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0"/>
        <v>0</v>
      </c>
      <c r="T19" s="21">
        <f t="shared" si="1"/>
        <v>0</v>
      </c>
      <c r="U19" s="33"/>
      <c r="V19" s="22"/>
      <c r="W19" s="22"/>
      <c r="X19" s="23"/>
      <c r="Y19" s="20">
        <f t="shared" si="2"/>
        <v>0</v>
      </c>
      <c r="Z19" s="25">
        <f t="shared" si="3"/>
        <v>0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0"/>
        <v>0</v>
      </c>
      <c r="T20" s="21">
        <f t="shared" si="1"/>
        <v>0</v>
      </c>
      <c r="U20" s="33"/>
      <c r="V20" s="22"/>
      <c r="W20" s="22"/>
      <c r="X20" s="23"/>
      <c r="Y20" s="20">
        <f t="shared" si="2"/>
        <v>0</v>
      </c>
      <c r="Z20" s="25">
        <f t="shared" si="3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0"/>
        <v>0</v>
      </c>
      <c r="T21" s="21">
        <f t="shared" si="1"/>
        <v>0</v>
      </c>
      <c r="U21" s="33"/>
      <c r="V21" s="22"/>
      <c r="W21" s="22"/>
      <c r="X21" s="23"/>
      <c r="Y21" s="20">
        <f t="shared" si="2"/>
        <v>0</v>
      </c>
      <c r="Z21" s="25">
        <f t="shared" si="3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0"/>
        <v>0</v>
      </c>
      <c r="T22" s="21">
        <f t="shared" si="1"/>
        <v>0</v>
      </c>
      <c r="U22" s="33"/>
      <c r="V22" s="22"/>
      <c r="W22" s="22"/>
      <c r="X22" s="23"/>
      <c r="Y22" s="20">
        <f t="shared" si="2"/>
        <v>0</v>
      </c>
      <c r="Z22" s="25">
        <f t="shared" si="3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0"/>
        <v>0</v>
      </c>
      <c r="T23" s="21">
        <f t="shared" si="1"/>
        <v>0</v>
      </c>
      <c r="U23" s="33"/>
      <c r="V23" s="22"/>
      <c r="W23" s="22"/>
      <c r="X23" s="23"/>
      <c r="Y23" s="20">
        <f t="shared" si="2"/>
        <v>0</v>
      </c>
      <c r="Z23" s="25">
        <f t="shared" si="3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0"/>
        <v>0</v>
      </c>
      <c r="T24" s="21">
        <f t="shared" si="1"/>
        <v>0</v>
      </c>
      <c r="U24" s="22"/>
      <c r="V24" s="22"/>
      <c r="W24" s="22"/>
      <c r="X24" s="23"/>
      <c r="Y24" s="20">
        <f t="shared" si="2"/>
        <v>0</v>
      </c>
      <c r="Z24" s="25">
        <f t="shared" si="3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0"/>
        <v>0</v>
      </c>
      <c r="T25" s="21">
        <f t="shared" si="1"/>
        <v>0</v>
      </c>
      <c r="U25" s="33"/>
      <c r="V25" s="22"/>
      <c r="W25" s="22"/>
      <c r="X25" s="23"/>
      <c r="Y25" s="20">
        <f t="shared" si="2"/>
        <v>0</v>
      </c>
      <c r="Z25" s="25">
        <f t="shared" si="3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0"/>
        <v>0</v>
      </c>
      <c r="T26" s="21">
        <f t="shared" si="1"/>
        <v>0</v>
      </c>
      <c r="U26" s="22"/>
      <c r="V26" s="22"/>
      <c r="W26" s="22"/>
      <c r="X26" s="23"/>
      <c r="Y26" s="20">
        <f t="shared" si="2"/>
        <v>0</v>
      </c>
      <c r="Z26" s="25">
        <f t="shared" si="3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0"/>
        <v>0</v>
      </c>
      <c r="T27" s="21">
        <f t="shared" si="1"/>
        <v>0</v>
      </c>
      <c r="U27" s="33"/>
      <c r="V27" s="22"/>
      <c r="W27" s="22"/>
      <c r="X27" s="23"/>
      <c r="Y27" s="20">
        <f t="shared" si="2"/>
        <v>0</v>
      </c>
      <c r="Z27" s="25">
        <f t="shared" si="3"/>
        <v>0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0"/>
        <v>0</v>
      </c>
      <c r="T28" s="21">
        <f t="shared" si="1"/>
        <v>0</v>
      </c>
      <c r="U28" s="33"/>
      <c r="V28" s="22"/>
      <c r="W28" s="22"/>
      <c r="X28" s="23"/>
      <c r="Y28" s="20">
        <f t="shared" si="2"/>
        <v>0</v>
      </c>
      <c r="Z28" s="25">
        <f t="shared" si="3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0"/>
        <v>0</v>
      </c>
      <c r="T29" s="40">
        <f t="shared" si="1"/>
        <v>0</v>
      </c>
      <c r="U29" s="38"/>
      <c r="V29" s="38"/>
      <c r="W29" s="38"/>
      <c r="X29" s="41"/>
      <c r="Y29" s="39">
        <f t="shared" si="2"/>
        <v>0</v>
      </c>
      <c r="Z29" s="42">
        <f t="shared" si="3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0</v>
      </c>
      <c r="D30" s="44">
        <f t="shared" si="4"/>
        <v>0</v>
      </c>
      <c r="E30" s="44">
        <f t="shared" si="4"/>
        <v>0</v>
      </c>
      <c r="F30" s="44">
        <f t="shared" si="4"/>
        <v>0</v>
      </c>
      <c r="G30" s="44">
        <f t="shared" si="4"/>
        <v>0</v>
      </c>
      <c r="H30" s="44">
        <f t="shared" si="4"/>
        <v>0</v>
      </c>
      <c r="I30" s="44">
        <f t="shared" si="4"/>
        <v>0</v>
      </c>
      <c r="J30" s="44">
        <f t="shared" si="4"/>
        <v>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0</v>
      </c>
      <c r="R30" s="44">
        <f t="shared" si="4"/>
        <v>0</v>
      </c>
      <c r="S30" s="20">
        <f>+SUM(S6:S29)</f>
        <v>0</v>
      </c>
      <c r="T30" s="20">
        <f>+SUM(T6:T29)</f>
        <v>0</v>
      </c>
      <c r="U30" s="44">
        <f>SUM(U6:U29)</f>
        <v>0</v>
      </c>
      <c r="V30" s="44">
        <f t="shared" ref="V30:W30" si="5">SUM(V6:V29)</f>
        <v>0</v>
      </c>
      <c r="W30" s="44">
        <f t="shared" si="5"/>
        <v>0</v>
      </c>
      <c r="X30" s="44">
        <f>SUM(X6:X29)</f>
        <v>0</v>
      </c>
      <c r="Y30" s="39">
        <f>SUM(Y6:Y29)</f>
        <v>0</v>
      </c>
      <c r="Z30" s="42">
        <f>SUM(Z6:Z29)</f>
        <v>0</v>
      </c>
    </row>
    <row r="31" spans="1:27" ht="15.75" thickBot="1" x14ac:dyDescent="0.3">
      <c r="A31" s="45" t="s">
        <v>51</v>
      </c>
      <c r="B31" s="46" t="s">
        <v>24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8">
        <f>SUM(C31:R31)</f>
        <v>0</v>
      </c>
      <c r="T31" s="48">
        <f>IF(S31=0,0,S31*100/$S$31)</f>
        <v>0</v>
      </c>
      <c r="U31" s="47"/>
      <c r="V31" s="47"/>
      <c r="W31" s="47"/>
      <c r="X31" s="47"/>
      <c r="Y31" s="48">
        <f>+S31+U31+V31+W31+X31</f>
        <v>0</v>
      </c>
      <c r="Z31" s="48">
        <f>IF(Y31=0,0,Y31*100/$Y$31)</f>
        <v>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 t="s">
        <v>55</v>
      </c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B43" s="62"/>
      <c r="C43" s="63"/>
      <c r="D43" s="63"/>
      <c r="E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5"/>
    </row>
  </sheetData>
  <mergeCells count="3">
    <mergeCell ref="A1:Z2"/>
    <mergeCell ref="S4:T4"/>
    <mergeCell ref="Y4:Z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47"/>
  <sheetViews>
    <sheetView zoomScale="90" zoomScaleNormal="90" workbookViewId="0">
      <selection activeCell="M39" sqref="M39"/>
    </sheetView>
  </sheetViews>
  <sheetFormatPr defaultRowHeight="15" x14ac:dyDescent="0.25"/>
  <cols>
    <col min="1" max="1" width="33.85546875" customWidth="1"/>
    <col min="2" max="2" width="6.140625" customWidth="1"/>
    <col min="3" max="3" width="7.28515625" customWidth="1"/>
    <col min="4" max="5" width="12.42578125" customWidth="1"/>
    <col min="6" max="6" width="9.140625" customWidth="1"/>
    <col min="7" max="7" width="9.140625" bestFit="1" customWidth="1"/>
    <col min="8" max="8" width="8.28515625" bestFit="1" customWidth="1"/>
    <col min="9" max="10" width="10.7109375" customWidth="1"/>
    <col min="11" max="11" width="6.140625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8.85546875" customWidth="1"/>
    <col min="16" max="16" width="7.5703125" customWidth="1"/>
    <col min="17" max="17" width="8.140625" bestFit="1" customWidth="1"/>
    <col min="18" max="18" width="6.42578125" bestFit="1" customWidth="1"/>
    <col min="19" max="19" width="10.7109375" customWidth="1"/>
    <col min="20" max="20" width="6.5703125" customWidth="1"/>
    <col min="21" max="21" width="11.140625" customWidth="1"/>
    <col min="22" max="22" width="10.85546875" customWidth="1"/>
    <col min="23" max="23" width="9.28515625" bestFit="1" customWidth="1"/>
    <col min="24" max="24" width="13" customWidth="1"/>
    <col min="25" max="25" width="10.710937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229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233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34" t="s">
        <v>15</v>
      </c>
      <c r="Q4" s="234" t="s">
        <v>16</v>
      </c>
      <c r="R4" s="234" t="s">
        <v>17</v>
      </c>
      <c r="S4" s="327" t="s">
        <v>18</v>
      </c>
      <c r="T4" s="328"/>
      <c r="U4" s="233" t="s">
        <v>19</v>
      </c>
      <c r="V4" s="234" t="s">
        <v>20</v>
      </c>
      <c r="W4" s="7" t="s">
        <v>21</v>
      </c>
      <c r="X4" s="7" t="s">
        <v>22</v>
      </c>
      <c r="Y4" s="329" t="s">
        <v>23</v>
      </c>
      <c r="Z4" s="330"/>
      <c r="AA4" s="230"/>
      <c r="AB4" s="230"/>
      <c r="AC4" s="230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31" t="s">
        <v>25</v>
      </c>
      <c r="U5" s="231" t="s">
        <v>25</v>
      </c>
      <c r="V5" s="231" t="s">
        <v>25</v>
      </c>
      <c r="W5" s="231" t="s">
        <v>25</v>
      </c>
      <c r="X5" s="231" t="s">
        <v>25</v>
      </c>
      <c r="Y5" s="259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22"/>
      <c r="D6" s="22"/>
      <c r="E6" s="22"/>
      <c r="F6" s="134">
        <v>15.601190614573213</v>
      </c>
      <c r="G6" s="134"/>
      <c r="H6" s="134">
        <v>15.601190614573213</v>
      </c>
      <c r="I6" s="134"/>
      <c r="J6" s="134">
        <v>15.601190614573211</v>
      </c>
      <c r="K6" s="134"/>
      <c r="L6" s="134"/>
      <c r="M6" s="134"/>
      <c r="N6" s="134"/>
      <c r="O6" s="134"/>
      <c r="P6" s="134"/>
      <c r="Q6" s="134">
        <v>15.601190614573213</v>
      </c>
      <c r="R6" s="22"/>
      <c r="S6" s="260">
        <f>C6/100*$C$31+D6/100*$D$31+E6/100*$E$31+F6/100*$F$31+G6/100*$G$31+H6/100*$H$31+I6/100*$I$31+J6/100*$J$31+K6/100*$K$31+L6/100*$L$31+M6/100*$M$31+N6/100*$N$31+O6/100*$O$31+P6/100*$P$31+Q6/100*$Q$31+R6/100*$R$31</f>
        <v>560438.13818537816</v>
      </c>
      <c r="T6" s="261">
        <f t="shared" ref="T6:T29" si="0">S6*100/$S$31</f>
        <v>14.690872754751682</v>
      </c>
      <c r="U6" s="134"/>
      <c r="V6" s="134"/>
      <c r="W6" s="134"/>
      <c r="X6" s="134"/>
      <c r="Y6" s="24">
        <f>U6/100*$U$31+V6/100*$V$31+W6/100*$W$31+X6/100*$X$31+S6</f>
        <v>560438.13818537816</v>
      </c>
      <c r="Z6" s="262">
        <f>Y6*100/$Y$31</f>
        <v>9.7118736243597237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134">
        <v>42.560124801466785</v>
      </c>
      <c r="G7" s="134"/>
      <c r="H7" s="134">
        <v>42.560124801466785</v>
      </c>
      <c r="I7" s="134"/>
      <c r="J7" s="134">
        <v>42.560124801466792</v>
      </c>
      <c r="K7" s="134"/>
      <c r="L7" s="134"/>
      <c r="M7" s="134"/>
      <c r="N7" s="134"/>
      <c r="O7" s="134"/>
      <c r="P7" s="134"/>
      <c r="Q7" s="134">
        <v>42.560124801466785</v>
      </c>
      <c r="R7" s="22"/>
      <c r="S7" s="260">
        <f t="shared" ref="S7:S29" si="1">C7/100*$C$31+D7/100*$D$31+E7/100*$E$31+F7/100*$F$31+G7/100*$G$31+H7/100*$H$31+I7/100*$I$31+J7/100*$J$31+K7/100*$K$31+L7/100*$L$31+M7/100*$M$31+N7/100*$N$31+O7/100*$O$31+P7/100*$P$31+Q7/100*$Q$31+R7/100*$R$31</f>
        <v>1528878.0000156353</v>
      </c>
      <c r="T7" s="261">
        <f t="shared" si="0"/>
        <v>40.076773198364279</v>
      </c>
      <c r="U7" s="134"/>
      <c r="V7" s="134"/>
      <c r="W7" s="134"/>
      <c r="X7" s="134"/>
      <c r="Y7" s="20">
        <f t="shared" ref="Y7:Y29" si="2">U7/100*$U$31+V7/100*$V$31+W7/100*$W$31+X7/100*$X$31+S7</f>
        <v>1528878.0000156353</v>
      </c>
      <c r="Z7" s="262">
        <f t="shared" ref="Z7:Z29" si="3">Y7*100/$Y$31</f>
        <v>26.49403905896261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134">
        <v>25.475572752588299</v>
      </c>
      <c r="G8" s="134"/>
      <c r="H8" s="134">
        <v>25.475572752588299</v>
      </c>
      <c r="I8" s="134"/>
      <c r="J8" s="134">
        <v>25.475572752588295</v>
      </c>
      <c r="K8" s="134"/>
      <c r="L8" s="134"/>
      <c r="M8" s="134"/>
      <c r="N8" s="134"/>
      <c r="O8" s="134"/>
      <c r="P8" s="134"/>
      <c r="Q8" s="134">
        <v>25.475572752588299</v>
      </c>
      <c r="R8" s="22"/>
      <c r="S8" s="260">
        <f t="shared" si="1"/>
        <v>915153.39536522364</v>
      </c>
      <c r="T8" s="261">
        <f t="shared" si="0"/>
        <v>23.989092044878653</v>
      </c>
      <c r="U8" s="134">
        <v>4.5739999999999998</v>
      </c>
      <c r="V8" s="134"/>
      <c r="W8" s="134"/>
      <c r="X8" s="134">
        <v>100</v>
      </c>
      <c r="Y8" s="20">
        <f t="shared" si="2"/>
        <v>1078593.7404452236</v>
      </c>
      <c r="Z8" s="262">
        <f t="shared" si="3"/>
        <v>18.691030080762555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134">
        <v>9.0520805780130296</v>
      </c>
      <c r="G9" s="134"/>
      <c r="H9" s="134">
        <v>9.0520805780130313</v>
      </c>
      <c r="I9" s="134"/>
      <c r="J9" s="134">
        <v>9.0520805780130313</v>
      </c>
      <c r="K9" s="134"/>
      <c r="L9" s="134"/>
      <c r="M9" s="134"/>
      <c r="N9" s="134"/>
      <c r="O9" s="134"/>
      <c r="P9" s="134"/>
      <c r="Q9" s="134">
        <v>9.0520805780130313</v>
      </c>
      <c r="R9" s="22"/>
      <c r="S9" s="260">
        <f t="shared" si="1"/>
        <v>325175.89914623497</v>
      </c>
      <c r="T9" s="261">
        <f t="shared" si="0"/>
        <v>8.5238984140818044</v>
      </c>
      <c r="U9" s="134"/>
      <c r="V9" s="134"/>
      <c r="W9" s="134"/>
      <c r="X9" s="134"/>
      <c r="Y9" s="20">
        <f t="shared" si="2"/>
        <v>325175.89914623497</v>
      </c>
      <c r="Z9" s="262">
        <f t="shared" si="3"/>
        <v>5.6349970193341328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22"/>
      <c r="S10" s="260">
        <f t="shared" si="1"/>
        <v>0</v>
      </c>
      <c r="T10" s="261">
        <f t="shared" si="0"/>
        <v>0</v>
      </c>
      <c r="U10" s="134"/>
      <c r="V10" s="134"/>
      <c r="W10" s="134"/>
      <c r="X10" s="134"/>
      <c r="Y10" s="20">
        <f t="shared" si="2"/>
        <v>0</v>
      </c>
      <c r="Z10" s="262">
        <f t="shared" si="3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22"/>
      <c r="S11" s="260">
        <f t="shared" si="1"/>
        <v>0</v>
      </c>
      <c r="T11" s="261">
        <f t="shared" si="0"/>
        <v>0</v>
      </c>
      <c r="U11" s="134"/>
      <c r="V11" s="134"/>
      <c r="W11" s="134"/>
      <c r="X11" s="134"/>
      <c r="Y11" s="20">
        <f t="shared" si="2"/>
        <v>0</v>
      </c>
      <c r="Z11" s="262">
        <f t="shared" si="3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22"/>
      <c r="S12" s="260">
        <f t="shared" si="1"/>
        <v>0</v>
      </c>
      <c r="T12" s="261">
        <f t="shared" si="0"/>
        <v>0</v>
      </c>
      <c r="U12" s="134"/>
      <c r="V12" s="134"/>
      <c r="W12" s="134"/>
      <c r="X12" s="134"/>
      <c r="Y12" s="20">
        <f t="shared" si="2"/>
        <v>0</v>
      </c>
      <c r="Z12" s="262">
        <f t="shared" si="3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22"/>
      <c r="S13" s="260">
        <f t="shared" si="1"/>
        <v>0</v>
      </c>
      <c r="T13" s="261">
        <f t="shared" si="0"/>
        <v>0</v>
      </c>
      <c r="U13" s="134"/>
      <c r="V13" s="134"/>
      <c r="W13" s="134"/>
      <c r="X13" s="134"/>
      <c r="Y13" s="20">
        <f t="shared" si="2"/>
        <v>0</v>
      </c>
      <c r="Z13" s="262">
        <f t="shared" si="3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22"/>
      <c r="S14" s="260">
        <f t="shared" si="1"/>
        <v>0</v>
      </c>
      <c r="T14" s="261">
        <f t="shared" si="0"/>
        <v>0</v>
      </c>
      <c r="U14" s="134"/>
      <c r="V14" s="134"/>
      <c r="W14" s="134"/>
      <c r="X14" s="134"/>
      <c r="Y14" s="20">
        <f t="shared" si="2"/>
        <v>0</v>
      </c>
      <c r="Z14" s="262">
        <f t="shared" si="3"/>
        <v>0</v>
      </c>
    </row>
    <row r="15" spans="1:29" x14ac:dyDescent="0.25">
      <c r="A15" s="31" t="s">
        <v>35</v>
      </c>
      <c r="B15" s="235" t="s">
        <v>25</v>
      </c>
      <c r="C15" s="22">
        <v>100</v>
      </c>
      <c r="D15" s="22">
        <v>100</v>
      </c>
      <c r="E15" s="22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22"/>
      <c r="S15" s="260">
        <f t="shared" si="1"/>
        <v>518</v>
      </c>
      <c r="T15" s="261">
        <f t="shared" si="0"/>
        <v>1.3578433672628159E-2</v>
      </c>
      <c r="U15" s="134"/>
      <c r="V15" s="134"/>
      <c r="W15" s="134"/>
      <c r="X15" s="134"/>
      <c r="Y15" s="20">
        <f t="shared" si="2"/>
        <v>518</v>
      </c>
      <c r="Z15" s="262">
        <f t="shared" si="3"/>
        <v>8.9764600134230998E-3</v>
      </c>
    </row>
    <row r="16" spans="1:29" x14ac:dyDescent="0.25">
      <c r="A16" s="29" t="s">
        <v>36</v>
      </c>
      <c r="B16" s="72" t="s">
        <v>25</v>
      </c>
      <c r="C16" s="22"/>
      <c r="D16" s="22"/>
      <c r="E16" s="22">
        <v>100</v>
      </c>
      <c r="F16" s="134"/>
      <c r="G16" s="134">
        <v>100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22"/>
      <c r="S16" s="260">
        <f t="shared" si="1"/>
        <v>222077</v>
      </c>
      <c r="T16" s="261">
        <f t="shared" si="0"/>
        <v>5.8213471326568405</v>
      </c>
      <c r="U16" s="134"/>
      <c r="V16" s="134"/>
      <c r="W16" s="134"/>
      <c r="X16" s="134"/>
      <c r="Y16" s="20">
        <f t="shared" si="2"/>
        <v>222077</v>
      </c>
      <c r="Z16" s="262">
        <f t="shared" si="3"/>
        <v>3.8483886301176868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134">
        <v>7.3110312533586708</v>
      </c>
      <c r="G17" s="134"/>
      <c r="H17" s="134">
        <v>7.3110312533586717</v>
      </c>
      <c r="I17" s="134"/>
      <c r="J17" s="134">
        <v>7.3110312533586717</v>
      </c>
      <c r="K17" s="134"/>
      <c r="L17" s="134"/>
      <c r="M17" s="134"/>
      <c r="N17" s="134"/>
      <c r="O17" s="134"/>
      <c r="P17" s="134"/>
      <c r="Q17" s="134">
        <v>7.3110312533586725</v>
      </c>
      <c r="R17" s="22"/>
      <c r="S17" s="260">
        <f t="shared" si="1"/>
        <v>262632.56728752784</v>
      </c>
      <c r="T17" s="261">
        <f t="shared" si="0"/>
        <v>6.884438021594109</v>
      </c>
      <c r="U17" s="134">
        <v>0.36099999999999999</v>
      </c>
      <c r="V17" s="134">
        <v>100</v>
      </c>
      <c r="W17" s="134"/>
      <c r="X17" s="134"/>
      <c r="Y17" s="20">
        <f t="shared" si="2"/>
        <v>317520.35490752786</v>
      </c>
      <c r="Z17" s="262">
        <f t="shared" si="3"/>
        <v>5.5023335314195663</v>
      </c>
    </row>
    <row r="18" spans="1:27" x14ac:dyDescent="0.25">
      <c r="A18" s="35" t="s">
        <v>38</v>
      </c>
      <c r="B18" s="235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0">
        <f t="shared" si="1"/>
        <v>0</v>
      </c>
      <c r="T18" s="261">
        <f t="shared" si="0"/>
        <v>0</v>
      </c>
      <c r="U18" s="134">
        <v>1.6120000000000001</v>
      </c>
      <c r="V18" s="134"/>
      <c r="W18" s="134"/>
      <c r="X18" s="134"/>
      <c r="Y18" s="20">
        <f t="shared" si="2"/>
        <v>29461.589040000003</v>
      </c>
      <c r="Z18" s="262">
        <f t="shared" si="3"/>
        <v>0.51054203851247926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0">
        <f t="shared" si="1"/>
        <v>0</v>
      </c>
      <c r="T19" s="261">
        <f t="shared" si="0"/>
        <v>0</v>
      </c>
      <c r="U19" s="134">
        <v>4.6719999999999997</v>
      </c>
      <c r="V19" s="134"/>
      <c r="W19" s="134"/>
      <c r="X19" s="134"/>
      <c r="Y19" s="20">
        <f t="shared" si="2"/>
        <v>85387.434240000002</v>
      </c>
      <c r="Z19" s="262">
        <f t="shared" si="3"/>
        <v>1.4796851141006844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60">
        <f t="shared" si="1"/>
        <v>0</v>
      </c>
      <c r="T20" s="261">
        <f t="shared" si="0"/>
        <v>0</v>
      </c>
      <c r="U20" s="134">
        <v>14.952</v>
      </c>
      <c r="V20" s="134"/>
      <c r="W20" s="134"/>
      <c r="X20" s="134"/>
      <c r="Y20" s="20">
        <f t="shared" si="2"/>
        <v>273269.03183999995</v>
      </c>
      <c r="Z20" s="262">
        <f t="shared" si="3"/>
        <v>4.7354991065996215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60">
        <f t="shared" si="1"/>
        <v>0</v>
      </c>
      <c r="T21" s="261">
        <f t="shared" si="0"/>
        <v>0</v>
      </c>
      <c r="U21" s="134">
        <v>1.0999999999999999E-2</v>
      </c>
      <c r="V21" s="134"/>
      <c r="W21" s="134"/>
      <c r="X21" s="134"/>
      <c r="Y21" s="20">
        <f t="shared" si="2"/>
        <v>201.04061999999999</v>
      </c>
      <c r="Z21" s="262">
        <f t="shared" si="3"/>
        <v>3.4838476573432206E-3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60">
        <f t="shared" si="1"/>
        <v>0</v>
      </c>
      <c r="T22" s="261">
        <f t="shared" si="0"/>
        <v>0</v>
      </c>
      <c r="U22" s="134">
        <v>23.361999999999998</v>
      </c>
      <c r="V22" s="134"/>
      <c r="W22" s="134"/>
      <c r="X22" s="134"/>
      <c r="Y22" s="20">
        <f t="shared" si="2"/>
        <v>426973.72404</v>
      </c>
      <c r="Z22" s="262">
        <f t="shared" si="3"/>
        <v>7.3990589973502114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60">
        <f t="shared" si="1"/>
        <v>0</v>
      </c>
      <c r="T23" s="261">
        <f t="shared" si="0"/>
        <v>0</v>
      </c>
      <c r="U23" s="134">
        <v>16.821000000000002</v>
      </c>
      <c r="V23" s="134"/>
      <c r="W23" s="134"/>
      <c r="X23" s="134"/>
      <c r="Y23" s="20">
        <f t="shared" si="2"/>
        <v>307427.66082000005</v>
      </c>
      <c r="Z23" s="262">
        <f t="shared" si="3"/>
        <v>5.3274364949245756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60">
        <f t="shared" si="1"/>
        <v>0</v>
      </c>
      <c r="T24" s="261">
        <f t="shared" si="0"/>
        <v>0</v>
      </c>
      <c r="U24" s="134"/>
      <c r="V24" s="134"/>
      <c r="W24" s="134"/>
      <c r="X24" s="134"/>
      <c r="Y24" s="20">
        <f t="shared" si="2"/>
        <v>0</v>
      </c>
      <c r="Z24" s="262">
        <f t="shared" si="3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60">
        <f t="shared" si="1"/>
        <v>0</v>
      </c>
      <c r="T25" s="261">
        <f t="shared" si="0"/>
        <v>0</v>
      </c>
      <c r="U25" s="134">
        <v>6.5410000000000004</v>
      </c>
      <c r="V25" s="134"/>
      <c r="W25" s="134"/>
      <c r="X25" s="134"/>
      <c r="Y25" s="20">
        <f t="shared" si="2"/>
        <v>119546.06322000001</v>
      </c>
      <c r="Z25" s="262">
        <f t="shared" si="3"/>
        <v>2.0716225024256372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60">
        <f t="shared" si="1"/>
        <v>0</v>
      </c>
      <c r="T26" s="261">
        <f t="shared" si="0"/>
        <v>0</v>
      </c>
      <c r="U26" s="134"/>
      <c r="V26" s="134"/>
      <c r="W26" s="134"/>
      <c r="X26" s="134"/>
      <c r="Y26" s="20">
        <f t="shared" si="2"/>
        <v>0</v>
      </c>
      <c r="Z26" s="262">
        <f t="shared" si="3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60">
        <f t="shared" si="1"/>
        <v>0</v>
      </c>
      <c r="T27" s="261">
        <f t="shared" si="0"/>
        <v>0</v>
      </c>
      <c r="U27" s="134">
        <v>26.16</v>
      </c>
      <c r="V27" s="134"/>
      <c r="W27" s="134"/>
      <c r="X27" s="134"/>
      <c r="Y27" s="20">
        <f t="shared" si="2"/>
        <v>478111.14720000001</v>
      </c>
      <c r="Z27" s="262">
        <f t="shared" si="3"/>
        <v>8.2852231560089677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60">
        <f t="shared" si="1"/>
        <v>0</v>
      </c>
      <c r="T28" s="261">
        <f t="shared" si="0"/>
        <v>0</v>
      </c>
      <c r="U28" s="134">
        <v>0.93400000000000005</v>
      </c>
      <c r="V28" s="134"/>
      <c r="W28" s="134"/>
      <c r="X28" s="134"/>
      <c r="Y28" s="20">
        <f>U28/100*$U$31+V28/100*$V$31+W28/100*$W$31+X28/100*$X$31+S28</f>
        <v>17070.176280000003</v>
      </c>
      <c r="Z28" s="262">
        <f t="shared" si="3"/>
        <v>0.295810337450779</v>
      </c>
    </row>
    <row r="29" spans="1:27" x14ac:dyDescent="0.25">
      <c r="A29" s="9" t="s">
        <v>49</v>
      </c>
      <c r="B29" s="30" t="s">
        <v>25</v>
      </c>
      <c r="C29" s="251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41"/>
      <c r="S29" s="263">
        <f t="shared" si="1"/>
        <v>0</v>
      </c>
      <c r="T29" s="264">
        <f t="shared" si="0"/>
        <v>0</v>
      </c>
      <c r="U29" s="178"/>
      <c r="V29" s="137"/>
      <c r="W29" s="137"/>
      <c r="X29" s="138"/>
      <c r="Y29" s="39">
        <f t="shared" si="2"/>
        <v>0</v>
      </c>
      <c r="Z29" s="265">
        <f t="shared" si="3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100.00000000000001</v>
      </c>
      <c r="I30" s="44">
        <f t="shared" si="4"/>
        <v>0</v>
      </c>
      <c r="J30" s="44">
        <f t="shared" si="4"/>
        <v>100.00000000000001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100.00000000000001</v>
      </c>
      <c r="R30" s="44">
        <f t="shared" si="4"/>
        <v>0</v>
      </c>
      <c r="S30" s="20">
        <f>+SUM(S6:S29)</f>
        <v>3814873</v>
      </c>
      <c r="T30" s="20">
        <f>+SUM(T6:T29)</f>
        <v>99.999999999999986</v>
      </c>
      <c r="U30" s="44">
        <f>SUM(U6:U29)</f>
        <v>99.999999999999986</v>
      </c>
      <c r="V30" s="44">
        <f t="shared" ref="V30:X30" si="5">SUM(V6:V29)</f>
        <v>100</v>
      </c>
      <c r="W30" s="44">
        <f t="shared" si="5"/>
        <v>0</v>
      </c>
      <c r="X30" s="44">
        <f t="shared" si="5"/>
        <v>100</v>
      </c>
      <c r="Y30" s="39">
        <f>SUM(Y6:Y29)</f>
        <v>5770648.9999999991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487</v>
      </c>
      <c r="D31" s="47">
        <v>31</v>
      </c>
      <c r="E31" s="47">
        <v>2183</v>
      </c>
      <c r="F31" s="47">
        <v>53942</v>
      </c>
      <c r="G31" s="47">
        <v>219894</v>
      </c>
      <c r="H31" s="47">
        <v>19007</v>
      </c>
      <c r="I31" s="47">
        <v>9.9999999999999999E-93</v>
      </c>
      <c r="J31" s="47">
        <v>3502799</v>
      </c>
      <c r="K31" s="47">
        <v>9.9999999999999999E-93</v>
      </c>
      <c r="L31" s="47">
        <v>9.9999999999999999E-93</v>
      </c>
      <c r="M31" s="47">
        <v>9.9999999999999999E-93</v>
      </c>
      <c r="N31" s="47">
        <v>9.9999999999999999E-93</v>
      </c>
      <c r="O31" s="47">
        <v>9.9999999999999999E-93</v>
      </c>
      <c r="P31" s="47">
        <v>9.9999999999999999E-93</v>
      </c>
      <c r="Q31" s="47">
        <v>16530</v>
      </c>
      <c r="R31" s="47">
        <v>9.9999999999999999E-93</v>
      </c>
      <c r="S31" s="48">
        <f>SUM(C31:R31)</f>
        <v>3814873</v>
      </c>
      <c r="T31" s="48">
        <f>S31*100/$S$31</f>
        <v>100</v>
      </c>
      <c r="U31" s="47">
        <v>1827642</v>
      </c>
      <c r="V31" s="47">
        <v>48290</v>
      </c>
      <c r="W31" s="47">
        <v>9.9999999999999999E-93</v>
      </c>
      <c r="X31" s="47">
        <v>79844</v>
      </c>
      <c r="Y31" s="48">
        <f>+S31+U31+V31+W31+X31</f>
        <v>5770649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39">
        <f>SUM(C32:X32)</f>
        <v>0</v>
      </c>
      <c r="Z32" s="54"/>
    </row>
    <row r="33" spans="1:25" x14ac:dyDescent="0.25">
      <c r="A33" s="55"/>
      <c r="U33" s="79"/>
      <c r="V33" s="79"/>
      <c r="W33" s="79"/>
      <c r="X33" s="79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X34" s="81"/>
      <c r="Y34" s="79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  <c r="V35" s="81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V36" s="81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  <c r="V37" s="81"/>
    </row>
    <row r="38" spans="1:25" x14ac:dyDescent="0.25">
      <c r="A38" t="s">
        <v>58</v>
      </c>
      <c r="G38" s="10"/>
      <c r="V38" s="81"/>
    </row>
    <row r="39" spans="1:25" ht="18.75" x14ac:dyDescent="0.3">
      <c r="A39" s="60"/>
      <c r="B39" s="61"/>
      <c r="V39" s="81"/>
    </row>
    <row r="40" spans="1:25" ht="18.75" x14ac:dyDescent="0.3">
      <c r="A40" s="60"/>
      <c r="B40" s="61"/>
      <c r="V40" s="81"/>
    </row>
    <row r="41" spans="1:25" ht="18.75" x14ac:dyDescent="0.3">
      <c r="B41" s="61"/>
      <c r="V41" s="81"/>
    </row>
    <row r="42" spans="1:25" x14ac:dyDescent="0.25">
      <c r="A42" s="10" t="s">
        <v>96</v>
      </c>
      <c r="C42" s="62" t="s">
        <v>97</v>
      </c>
      <c r="D42" s="62"/>
      <c r="E42" s="62"/>
      <c r="V42" s="81"/>
    </row>
    <row r="43" spans="1:25" x14ac:dyDescent="0.25">
      <c r="A43" s="62" t="s">
        <v>230</v>
      </c>
      <c r="B43" s="62" t="s">
        <v>98</v>
      </c>
      <c r="C43" s="63">
        <v>5770650</v>
      </c>
      <c r="D43" s="63"/>
      <c r="E43" s="63"/>
      <c r="F43" s="64"/>
      <c r="G43" s="64"/>
      <c r="V43" s="81"/>
    </row>
    <row r="44" spans="1:25" ht="18.75" x14ac:dyDescent="0.3">
      <c r="A44" s="60"/>
      <c r="B44" s="61"/>
    </row>
    <row r="45" spans="1:25" ht="18.75" x14ac:dyDescent="0.3">
      <c r="A45" s="60"/>
      <c r="B45" s="61"/>
      <c r="C45">
        <v>487</v>
      </c>
      <c r="D45">
        <v>31</v>
      </c>
      <c r="E45">
        <v>2183</v>
      </c>
      <c r="F45">
        <v>53942</v>
      </c>
      <c r="G45">
        <v>219894</v>
      </c>
      <c r="H45">
        <v>19007</v>
      </c>
      <c r="I45">
        <v>0</v>
      </c>
      <c r="J45">
        <v>3502799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16530</v>
      </c>
      <c r="R45">
        <v>0</v>
      </c>
      <c r="U45">
        <v>1827642</v>
      </c>
      <c r="V45">
        <v>48290</v>
      </c>
      <c r="W45">
        <v>0</v>
      </c>
      <c r="X45">
        <v>79844</v>
      </c>
      <c r="Y45">
        <f>SUM(C45:X45)</f>
        <v>5770649</v>
      </c>
    </row>
    <row r="46" spans="1:25" ht="18.75" x14ac:dyDescent="0.3">
      <c r="A46" s="142"/>
      <c r="B46" s="65"/>
      <c r="U46" s="266"/>
    </row>
    <row r="47" spans="1:25" ht="18.75" x14ac:dyDescent="0.3">
      <c r="A47" s="60"/>
      <c r="B47" s="65"/>
    </row>
  </sheetData>
  <mergeCells count="3">
    <mergeCell ref="A1:Z2"/>
    <mergeCell ref="S4:T4"/>
    <mergeCell ref="Y4:Z4"/>
  </mergeCells>
  <pageMargins left="0.27" right="0.28000000000000003" top="0.74803149606299213" bottom="0.74803149606299213" header="0.31496062992125984" footer="0.31496062992125984"/>
  <pageSetup paperSize="9" scale="5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45"/>
  <sheetViews>
    <sheetView zoomScale="90" zoomScaleNormal="90" workbookViewId="0">
      <selection activeCell="R37" sqref="R37"/>
    </sheetView>
  </sheetViews>
  <sheetFormatPr defaultRowHeight="15" x14ac:dyDescent="0.25"/>
  <cols>
    <col min="1" max="1" width="32.42578125" customWidth="1"/>
    <col min="2" max="2" width="6.7109375" customWidth="1"/>
    <col min="3" max="3" width="9" customWidth="1"/>
    <col min="4" max="4" width="13.7109375" customWidth="1"/>
    <col min="5" max="5" width="12.7109375" customWidth="1"/>
    <col min="6" max="6" width="10.42578125" customWidth="1"/>
    <col min="7" max="7" width="9.140625" bestFit="1" customWidth="1"/>
    <col min="8" max="8" width="8.28515625" bestFit="1" customWidth="1"/>
    <col min="9" max="9" width="12" customWidth="1"/>
    <col min="10" max="10" width="10.7109375" customWidth="1"/>
    <col min="11" max="11" width="5.7109375" customWidth="1"/>
    <col min="12" max="12" width="6.42578125" customWidth="1"/>
    <col min="13" max="13" width="5.7109375" bestFit="1" customWidth="1"/>
    <col min="14" max="14" width="7.85546875" bestFit="1" customWidth="1"/>
    <col min="15" max="15" width="8.85546875" customWidth="1"/>
    <col min="16" max="16" width="7.85546875" bestFit="1" customWidth="1"/>
    <col min="17" max="17" width="8.140625" bestFit="1" customWidth="1"/>
    <col min="18" max="18" width="7" bestFit="1" customWidth="1"/>
    <col min="19" max="19" width="10.42578125" customWidth="1"/>
    <col min="20" max="20" width="5.85546875" customWidth="1"/>
    <col min="21" max="21" width="9.5703125" customWidth="1"/>
    <col min="22" max="22" width="10.5703125" customWidth="1"/>
    <col min="23" max="23" width="8.7109375" customWidth="1"/>
    <col min="24" max="24" width="12.85546875" customWidth="1"/>
    <col min="25" max="25" width="10.5703125" customWidth="1"/>
    <col min="26" max="26" width="5.85546875" customWidth="1"/>
    <col min="27" max="27" width="1.85546875" customWidth="1"/>
  </cols>
  <sheetData>
    <row r="1" spans="1:29" x14ac:dyDescent="0.25">
      <c r="A1" s="325" t="s">
        <v>184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202" t="s">
        <v>2</v>
      </c>
      <c r="D4" s="91" t="s">
        <v>3</v>
      </c>
      <c r="E4" s="91" t="s">
        <v>79</v>
      </c>
      <c r="F4" s="91" t="s">
        <v>132</v>
      </c>
      <c r="G4" s="7" t="s">
        <v>6</v>
      </c>
      <c r="H4" s="203" t="s">
        <v>7</v>
      </c>
      <c r="I4" s="5" t="s">
        <v>101</v>
      </c>
      <c r="J4" s="203" t="s">
        <v>9</v>
      </c>
      <c r="K4" s="203" t="s">
        <v>10</v>
      </c>
      <c r="L4" s="203" t="s">
        <v>11</v>
      </c>
      <c r="M4" s="203" t="s">
        <v>12</v>
      </c>
      <c r="N4" s="203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0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5</v>
      </c>
      <c r="D6" s="19"/>
      <c r="E6" s="19"/>
      <c r="F6" s="19">
        <v>7</v>
      </c>
      <c r="G6" s="19"/>
      <c r="H6" s="19">
        <v>7</v>
      </c>
      <c r="I6" s="19"/>
      <c r="J6" s="19">
        <v>5</v>
      </c>
      <c r="K6" s="19"/>
      <c r="L6" s="19"/>
      <c r="M6" s="19"/>
      <c r="N6" s="19"/>
      <c r="O6" s="19">
        <v>15</v>
      </c>
      <c r="P6" s="19"/>
      <c r="Q6" s="19">
        <v>10</v>
      </c>
      <c r="R6" s="19">
        <v>15</v>
      </c>
      <c r="S6" s="20">
        <f>C6/100*$C$31+D6/100*$D$31+E6/100*$E$31+F6/100*$F$31+G6/100*$G$31+H6/100*$H$31+I6/100*$I$31+J6/100*$J$31+K6/100*$K$31+L6/100*$L$31+M6/100*$M$31+N6/100*$N$31+O6/100*$O$31+P6/100*$P$31+Q6/100*$Q$31+R6/100*$R$31</f>
        <v>74979.050000000017</v>
      </c>
      <c r="T6" s="21">
        <f>S6*100/$S$31</f>
        <v>4.6427116305796234</v>
      </c>
      <c r="U6" s="22"/>
      <c r="V6" s="22"/>
      <c r="W6" s="22"/>
      <c r="X6" s="23"/>
      <c r="Y6" s="24">
        <f>U6/100*$U$31+V6/100*$V$31+W6/100*$W$31+X6/100*$X$31+S6</f>
        <v>74979.050000000017</v>
      </c>
      <c r="Z6" s="25">
        <f t="shared" ref="Z6:Z29" si="0">Y6*100/$Y$31</f>
        <v>2.7590729868318653</v>
      </c>
    </row>
    <row r="7" spans="1:29" x14ac:dyDescent="0.25">
      <c r="A7" s="26" t="s">
        <v>27</v>
      </c>
      <c r="B7" s="18" t="s">
        <v>25</v>
      </c>
      <c r="C7" s="22">
        <v>24</v>
      </c>
      <c r="D7" s="22"/>
      <c r="E7" s="22"/>
      <c r="F7" s="22">
        <v>27</v>
      </c>
      <c r="G7" s="22"/>
      <c r="H7" s="22">
        <v>13</v>
      </c>
      <c r="I7" s="22"/>
      <c r="J7" s="22">
        <v>25</v>
      </c>
      <c r="K7" s="22"/>
      <c r="L7" s="22"/>
      <c r="M7" s="22"/>
      <c r="N7" s="22"/>
      <c r="O7" s="22">
        <v>25</v>
      </c>
      <c r="P7" s="22"/>
      <c r="Q7" s="22">
        <v>25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362126.77</v>
      </c>
      <c r="T7" s="21">
        <f>S7*100/$S$31</f>
        <v>22.422932363416603</v>
      </c>
      <c r="U7" s="22">
        <v>4</v>
      </c>
      <c r="V7" s="22"/>
      <c r="W7" s="22"/>
      <c r="X7" s="23"/>
      <c r="Y7" s="20">
        <f t="shared" ref="Y7:Y29" si="2">U7/100*$U$31+V7/100*$V$31+W7/100*$W$31+X7/100*$X$31+S7</f>
        <v>396523.85000000003</v>
      </c>
      <c r="Z7" s="25">
        <f t="shared" si="0"/>
        <v>14.591252398764325</v>
      </c>
    </row>
    <row r="8" spans="1:29" x14ac:dyDescent="0.25">
      <c r="A8" s="3" t="s">
        <v>28</v>
      </c>
      <c r="B8" s="27" t="s">
        <v>25</v>
      </c>
      <c r="C8" s="22">
        <v>60</v>
      </c>
      <c r="D8" s="22"/>
      <c r="E8" s="22"/>
      <c r="F8" s="22">
        <v>36</v>
      </c>
      <c r="G8" s="22"/>
      <c r="H8" s="22">
        <v>30</v>
      </c>
      <c r="I8" s="22"/>
      <c r="J8" s="22">
        <v>58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824726.29999999993</v>
      </c>
      <c r="T8" s="21">
        <f>S8*100/$S$31</f>
        <v>51.067149891268272</v>
      </c>
      <c r="U8" s="22">
        <v>7</v>
      </c>
      <c r="V8" s="22"/>
      <c r="W8" s="22"/>
      <c r="X8" s="23"/>
      <c r="Y8" s="20">
        <f t="shared" si="2"/>
        <v>884921.19</v>
      </c>
      <c r="Z8" s="25">
        <f t="shared" si="0"/>
        <v>32.563258014126724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>
        <v>2</v>
      </c>
      <c r="K9" s="22"/>
      <c r="L9" s="22"/>
      <c r="M9" s="22"/>
      <c r="N9" s="22"/>
      <c r="O9" s="22"/>
      <c r="P9" s="22"/>
      <c r="Q9" s="22"/>
      <c r="R9" s="22"/>
      <c r="S9" s="20">
        <f t="shared" si="1"/>
        <v>25534.12</v>
      </c>
      <c r="T9" s="21">
        <f t="shared" ref="T9:T17" si="3">S9*100/$S$31</f>
        <v>1.5810757258276242</v>
      </c>
      <c r="U9" s="22">
        <v>7</v>
      </c>
      <c r="V9" s="22"/>
      <c r="W9" s="22"/>
      <c r="X9" s="23"/>
      <c r="Y9" s="20">
        <f t="shared" si="2"/>
        <v>85729.010000000009</v>
      </c>
      <c r="Z9" s="25">
        <f t="shared" si="0"/>
        <v>3.1546491410445827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/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3"/>
        <v>0</v>
      </c>
      <c r="U15" s="22"/>
      <c r="V15" s="33"/>
      <c r="W15" s="33"/>
      <c r="X15" s="23"/>
      <c r="Y15" s="20">
        <f t="shared" si="2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157196</v>
      </c>
      <c r="T16" s="21">
        <f t="shared" si="3"/>
        <v>9.7335948839121631</v>
      </c>
      <c r="U16" s="22"/>
      <c r="V16" s="33"/>
      <c r="W16" s="33"/>
      <c r="X16" s="23"/>
      <c r="Y16" s="20">
        <f t="shared" si="2"/>
        <v>157196</v>
      </c>
      <c r="Z16" s="25">
        <f t="shared" si="0"/>
        <v>5.7844856294927958</v>
      </c>
    </row>
    <row r="17" spans="1:27" x14ac:dyDescent="0.25">
      <c r="A17" s="43" t="s">
        <v>37</v>
      </c>
      <c r="B17" s="30" t="s">
        <v>25</v>
      </c>
      <c r="C17" s="22">
        <v>11</v>
      </c>
      <c r="D17" s="22"/>
      <c r="E17" s="22"/>
      <c r="F17" s="22">
        <v>30</v>
      </c>
      <c r="G17" s="22"/>
      <c r="H17" s="22">
        <v>50</v>
      </c>
      <c r="I17" s="22"/>
      <c r="J17" s="22">
        <v>10</v>
      </c>
      <c r="K17" s="22"/>
      <c r="L17" s="22"/>
      <c r="M17" s="22"/>
      <c r="N17" s="22"/>
      <c r="O17" s="22">
        <v>60</v>
      </c>
      <c r="P17" s="22"/>
      <c r="Q17" s="22">
        <v>65</v>
      </c>
      <c r="R17" s="22">
        <v>85</v>
      </c>
      <c r="S17" s="20">
        <f t="shared" si="1"/>
        <v>170421.76000000001</v>
      </c>
      <c r="T17" s="21">
        <f t="shared" si="3"/>
        <v>10.552535504995715</v>
      </c>
      <c r="U17" s="33"/>
      <c r="V17" s="22">
        <v>100</v>
      </c>
      <c r="W17" s="22"/>
      <c r="X17" s="23">
        <v>100</v>
      </c>
      <c r="Y17" s="20">
        <f t="shared" si="2"/>
        <v>413055.76</v>
      </c>
      <c r="Z17" s="25">
        <f t="shared" si="0"/>
        <v>15.199592279060697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1</v>
      </c>
      <c r="V18" s="22"/>
      <c r="W18" s="22"/>
      <c r="X18" s="23"/>
      <c r="Y18" s="20">
        <f t="shared" si="2"/>
        <v>8599.27</v>
      </c>
      <c r="Z18" s="25">
        <f t="shared" si="0"/>
        <v>0.31643523842291482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14</v>
      </c>
      <c r="V19" s="22"/>
      <c r="W19" s="22"/>
      <c r="X19" s="23"/>
      <c r="Y19" s="20">
        <f t="shared" si="2"/>
        <v>120389.78000000001</v>
      </c>
      <c r="Z19" s="25">
        <f t="shared" si="0"/>
        <v>4.4300933379208081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6</v>
      </c>
      <c r="V20" s="22"/>
      <c r="W20" s="22"/>
      <c r="X20" s="23"/>
      <c r="Y20" s="20">
        <f>U20/100*$U$31+V20/100*$V$31+W20/100*$W$31+X20/100*$X$31+S20</f>
        <v>51595.619999999995</v>
      </c>
      <c r="Z20" s="25">
        <f t="shared" si="0"/>
        <v>1.8986114305374888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10</v>
      </c>
      <c r="V22" s="22"/>
      <c r="W22" s="22"/>
      <c r="X22" s="23"/>
      <c r="Y22" s="20">
        <f t="shared" si="2"/>
        <v>85992.700000000012</v>
      </c>
      <c r="Z22" s="25">
        <f t="shared" si="0"/>
        <v>3.1643523842291486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5</v>
      </c>
      <c r="V23" s="22"/>
      <c r="W23" s="22"/>
      <c r="X23" s="23"/>
      <c r="Y23" s="20">
        <f t="shared" si="2"/>
        <v>42996.350000000006</v>
      </c>
      <c r="Z23" s="25">
        <f t="shared" si="0"/>
        <v>1.5821761921145743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13</v>
      </c>
      <c r="V24" s="22"/>
      <c r="W24" s="22"/>
      <c r="X24" s="23"/>
      <c r="Y24" s="20">
        <f t="shared" si="2"/>
        <v>111790.51000000001</v>
      </c>
      <c r="Z24" s="25">
        <f t="shared" si="0"/>
        <v>4.1136580994978926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12</v>
      </c>
      <c r="V25" s="22"/>
      <c r="W25" s="22"/>
      <c r="X25" s="23"/>
      <c r="Y25" s="20">
        <f t="shared" si="2"/>
        <v>103191.23999999999</v>
      </c>
      <c r="Z25" s="25">
        <f t="shared" si="0"/>
        <v>3.7972228610749776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17</v>
      </c>
      <c r="V27" s="22"/>
      <c r="W27" s="22"/>
      <c r="X27" s="23"/>
      <c r="Y27" s="20">
        <f t="shared" si="2"/>
        <v>146187.59</v>
      </c>
      <c r="Z27" s="25">
        <f t="shared" si="0"/>
        <v>5.3793990531895517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1</v>
      </c>
      <c r="V28" s="22"/>
      <c r="W28" s="22"/>
      <c r="X28" s="23"/>
      <c r="Y28" s="20">
        <f t="shared" si="2"/>
        <v>8599.27</v>
      </c>
      <c r="Z28" s="25">
        <f t="shared" si="0"/>
        <v>0.31643523842291482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3</v>
      </c>
      <c r="V29" s="38"/>
      <c r="W29" s="38"/>
      <c r="X29" s="41"/>
      <c r="Y29" s="39">
        <f t="shared" si="2"/>
        <v>25797.809999999998</v>
      </c>
      <c r="Z29" s="42">
        <f t="shared" si="0"/>
        <v>0.94930571526874441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100</v>
      </c>
      <c r="S30" s="20">
        <f>+SUM(S6:S29)</f>
        <v>1614984.0000000002</v>
      </c>
      <c r="T30" s="20">
        <f>+SUM(T6:T29)</f>
        <v>100.00000000000001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2717545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103561</v>
      </c>
      <c r="D31" s="47">
        <v>0</v>
      </c>
      <c r="E31" s="47">
        <v>14808</v>
      </c>
      <c r="F31" s="47">
        <v>49262</v>
      </c>
      <c r="G31" s="47">
        <v>142388</v>
      </c>
      <c r="H31" s="47">
        <v>14553</v>
      </c>
      <c r="I31" s="47">
        <v>0</v>
      </c>
      <c r="J31" s="47">
        <v>1276706</v>
      </c>
      <c r="K31" s="47">
        <v>0</v>
      </c>
      <c r="L31" s="47">
        <v>0</v>
      </c>
      <c r="M31" s="47">
        <v>0</v>
      </c>
      <c r="N31" s="47">
        <v>0</v>
      </c>
      <c r="O31" s="47">
        <v>467</v>
      </c>
      <c r="P31" s="47">
        <v>0</v>
      </c>
      <c r="Q31" s="47">
        <v>11145</v>
      </c>
      <c r="R31" s="47">
        <v>2094</v>
      </c>
      <c r="S31" s="48">
        <f>SUM(C31:R31)</f>
        <v>1614984</v>
      </c>
      <c r="T31" s="48">
        <f>S31*100/$S$31</f>
        <v>100</v>
      </c>
      <c r="U31" s="47">
        <v>859927</v>
      </c>
      <c r="V31" s="47">
        <v>215616</v>
      </c>
      <c r="W31" s="47">
        <v>0</v>
      </c>
      <c r="X31" s="47">
        <v>27018</v>
      </c>
      <c r="Y31" s="48">
        <f>+S31+U31+V31+W31+X31</f>
        <v>2717545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 t="s">
        <v>185</v>
      </c>
      <c r="D36" s="22"/>
      <c r="E36" s="22"/>
      <c r="F36" s="23"/>
      <c r="G36" s="10"/>
      <c r="X36" s="81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  <c r="X39" s="8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186</v>
      </c>
      <c r="B43" s="62" t="s">
        <v>98</v>
      </c>
      <c r="C43" s="63">
        <v>2717545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103561</v>
      </c>
      <c r="D45">
        <v>0</v>
      </c>
      <c r="E45">
        <v>14808</v>
      </c>
      <c r="F45">
        <v>49262</v>
      </c>
      <c r="G45">
        <v>142388</v>
      </c>
      <c r="H45">
        <v>14553</v>
      </c>
      <c r="I45">
        <v>0</v>
      </c>
      <c r="J45">
        <v>1276706</v>
      </c>
      <c r="K45">
        <v>0</v>
      </c>
      <c r="L45">
        <v>0</v>
      </c>
      <c r="M45">
        <v>0</v>
      </c>
      <c r="N45">
        <v>0</v>
      </c>
      <c r="O45">
        <v>467</v>
      </c>
      <c r="P45">
        <v>0</v>
      </c>
      <c r="Q45">
        <v>11145</v>
      </c>
      <c r="R45">
        <v>2094</v>
      </c>
      <c r="U45">
        <v>859927</v>
      </c>
      <c r="V45">
        <v>215616</v>
      </c>
      <c r="W45">
        <v>0</v>
      </c>
      <c r="X45">
        <v>27018</v>
      </c>
      <c r="Y45">
        <f>SUM(C45:X45)</f>
        <v>2717545</v>
      </c>
    </row>
  </sheetData>
  <mergeCells count="3">
    <mergeCell ref="A1:Z2"/>
    <mergeCell ref="S4:T4"/>
    <mergeCell ref="Y4:Z4"/>
  </mergeCells>
  <pageMargins left="0.26" right="0.32" top="0.74803149606299213" bottom="0.74803149606299213" header="0.31496062992125984" footer="0.31496062992125984"/>
  <pageSetup paperSize="9" scale="5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47"/>
  <sheetViews>
    <sheetView zoomScale="90" zoomScaleNormal="90" workbookViewId="0">
      <selection activeCell="U30" sqref="U30"/>
    </sheetView>
  </sheetViews>
  <sheetFormatPr defaultRowHeight="15" x14ac:dyDescent="0.25"/>
  <cols>
    <col min="1" max="1" width="32.42578125" customWidth="1"/>
    <col min="2" max="2" width="6.7109375" customWidth="1"/>
    <col min="3" max="3" width="8.5703125" customWidth="1"/>
    <col min="4" max="5" width="12.42578125" customWidth="1"/>
    <col min="6" max="6" width="9.28515625" customWidth="1"/>
    <col min="7" max="7" width="8.42578125" customWidth="1"/>
    <col min="8" max="8" width="8.28515625" bestFit="1" customWidth="1"/>
    <col min="9" max="9" width="10.5703125" customWidth="1"/>
    <col min="10" max="10" width="10.7109375" customWidth="1"/>
    <col min="11" max="11" width="5.85546875" customWidth="1"/>
    <col min="12" max="12" width="6.140625" customWidth="1"/>
    <col min="13" max="13" width="6.7109375" customWidth="1"/>
    <col min="14" max="14" width="7.85546875" customWidth="1"/>
    <col min="15" max="15" width="9.28515625" customWidth="1"/>
    <col min="16" max="16" width="7.42578125" customWidth="1"/>
    <col min="17" max="17" width="7.140625" customWidth="1"/>
    <col min="18" max="18" width="8.28515625" customWidth="1"/>
    <col min="19" max="19" width="10.28515625" customWidth="1"/>
    <col min="20" max="20" width="6.7109375" customWidth="1"/>
    <col min="21" max="21" width="9.7109375" customWidth="1"/>
    <col min="22" max="22" width="10.5703125" customWidth="1"/>
    <col min="23" max="23" width="9.28515625" bestFit="1" customWidth="1"/>
    <col min="24" max="24" width="13.140625" customWidth="1"/>
    <col min="25" max="25" width="10.140625" customWidth="1"/>
    <col min="27" max="27" width="1.85546875" customWidth="1"/>
  </cols>
  <sheetData>
    <row r="1" spans="1:29" ht="15" customHeight="1" x14ac:dyDescent="0.25">
      <c r="A1" s="325" t="s">
        <v>110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22" t="s">
        <v>1</v>
      </c>
      <c r="C4" s="122" t="s">
        <v>2</v>
      </c>
      <c r="D4" s="5" t="s">
        <v>3</v>
      </c>
      <c r="E4" s="5" t="s">
        <v>4</v>
      </c>
      <c r="F4" s="5" t="s">
        <v>102</v>
      </c>
      <c r="G4" s="123" t="s">
        <v>6</v>
      </c>
      <c r="H4" s="123" t="s">
        <v>7</v>
      </c>
      <c r="I4" s="5" t="s">
        <v>101</v>
      </c>
      <c r="J4" s="123" t="s">
        <v>9</v>
      </c>
      <c r="K4" s="123" t="s">
        <v>10</v>
      </c>
      <c r="L4" s="123" t="s">
        <v>11</v>
      </c>
      <c r="M4" s="123" t="s">
        <v>12</v>
      </c>
      <c r="N4" s="123" t="s">
        <v>13</v>
      </c>
      <c r="O4" s="5" t="s">
        <v>14</v>
      </c>
      <c r="P4" s="123" t="s">
        <v>15</v>
      </c>
      <c r="Q4" s="123" t="s">
        <v>16</v>
      </c>
      <c r="R4" s="123" t="s">
        <v>17</v>
      </c>
      <c r="S4" s="327" t="s">
        <v>18</v>
      </c>
      <c r="T4" s="328"/>
      <c r="U4" s="122" t="s">
        <v>19</v>
      </c>
      <c r="V4" s="123" t="s">
        <v>20</v>
      </c>
      <c r="W4" s="7" t="s">
        <v>21</v>
      </c>
      <c r="X4" s="7" t="s">
        <v>22</v>
      </c>
      <c r="Y4" s="329" t="s">
        <v>23</v>
      </c>
      <c r="Z4" s="330"/>
      <c r="AA4" s="119"/>
      <c r="AB4" s="119"/>
      <c r="AC4" s="11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0" t="s">
        <v>25</v>
      </c>
      <c r="U5" s="120" t="s">
        <v>25</v>
      </c>
      <c r="V5" s="120" t="s">
        <v>25</v>
      </c>
      <c r="W5" s="120" t="s">
        <v>25</v>
      </c>
      <c r="X5" s="12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0</v>
      </c>
      <c r="T6" s="140">
        <f>S6*100/$S$31</f>
        <v>0</v>
      </c>
      <c r="U6" s="22"/>
      <c r="V6" s="22"/>
      <c r="W6" s="22"/>
      <c r="X6" s="23"/>
      <c r="Y6" s="20">
        <f>U6/100*$U$31+V6/100*$V$31+W6/100*$W$31+X6/100*$X$31+S6</f>
        <v>0</v>
      </c>
      <c r="Z6" s="25">
        <f t="shared" ref="Z6:Z28" si="0">Y6*100/$Y$31</f>
        <v>0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20</v>
      </c>
      <c r="G7" s="22"/>
      <c r="H7" s="22"/>
      <c r="I7" s="22"/>
      <c r="J7" s="134">
        <v>44.295006059022221</v>
      </c>
      <c r="K7" s="22"/>
      <c r="L7" s="22"/>
      <c r="M7" s="22"/>
      <c r="N7" s="22"/>
      <c r="O7" s="22">
        <v>20</v>
      </c>
      <c r="P7" s="22"/>
      <c r="Q7" s="22">
        <v>20</v>
      </c>
      <c r="R7" s="22">
        <v>20</v>
      </c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519834.77312885399</v>
      </c>
      <c r="T7" s="21">
        <f t="shared" ref="T7:T29" si="2">S7*100/$S$31</f>
        <v>40.038191135711251</v>
      </c>
      <c r="U7" s="22"/>
      <c r="V7" s="22"/>
      <c r="W7" s="22"/>
      <c r="X7" s="23"/>
      <c r="Y7" s="20">
        <f t="shared" ref="Y7:Y29" si="3">U7/100*$U$31+V7/100*$V$31+W7/100*$W$31+X7/100*$X$31+S7</f>
        <v>519834.77312885399</v>
      </c>
      <c r="Z7" s="25">
        <f t="shared" si="0"/>
        <v>24.360693617204156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20</v>
      </c>
      <c r="G8" s="22"/>
      <c r="H8" s="22"/>
      <c r="I8" s="22"/>
      <c r="J8" s="134">
        <v>48.814541184579788</v>
      </c>
      <c r="K8" s="22"/>
      <c r="L8" s="22"/>
      <c r="M8" s="22"/>
      <c r="N8" s="22"/>
      <c r="O8" s="22">
        <v>20</v>
      </c>
      <c r="P8" s="22"/>
      <c r="Q8" s="22">
        <v>20</v>
      </c>
      <c r="R8" s="22">
        <v>20</v>
      </c>
      <c r="S8" s="20">
        <f t="shared" si="1"/>
        <v>571346.14640040998</v>
      </c>
      <c r="T8" s="21">
        <f t="shared" si="2"/>
        <v>44.005648326571986</v>
      </c>
      <c r="U8" s="22"/>
      <c r="V8" s="22"/>
      <c r="W8" s="22"/>
      <c r="X8" s="23"/>
      <c r="Y8" s="20">
        <f t="shared" si="3"/>
        <v>571346.14640040998</v>
      </c>
      <c r="Z8" s="25">
        <f t="shared" si="0"/>
        <v>26.774639060901457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134">
        <v>6.0279168755864472</v>
      </c>
      <c r="K9" s="22"/>
      <c r="L9" s="22"/>
      <c r="M9" s="22"/>
      <c r="N9" s="22"/>
      <c r="O9" s="22"/>
      <c r="P9" s="22"/>
      <c r="Q9" s="22"/>
      <c r="R9" s="22"/>
      <c r="S9" s="20">
        <f t="shared" si="1"/>
        <v>68703.144815129155</v>
      </c>
      <c r="T9" s="21">
        <f t="shared" si="2"/>
        <v>5.291584530169068</v>
      </c>
      <c r="U9" s="22"/>
      <c r="V9" s="22"/>
      <c r="W9" s="22"/>
      <c r="X9" s="23"/>
      <c r="Y9" s="20">
        <f t="shared" si="3"/>
        <v>68703.144815129155</v>
      </c>
      <c r="Z9" s="25">
        <f t="shared" si="0"/>
        <v>3.2195927396432795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24995.585106382976</v>
      </c>
      <c r="T15" s="21">
        <f t="shared" si="2"/>
        <v>1.9251848198124126</v>
      </c>
      <c r="U15" s="22"/>
      <c r="V15" s="33"/>
      <c r="W15" s="22"/>
      <c r="X15" s="23"/>
      <c r="Y15" s="20">
        <f t="shared" si="3"/>
        <v>24995.585106382976</v>
      </c>
      <c r="Z15" s="25">
        <f t="shared" si="0"/>
        <v>1.1713525566871104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58688.744680851065</v>
      </c>
      <c r="T16" s="21">
        <f t="shared" si="2"/>
        <v>4.5202654737843364</v>
      </c>
      <c r="U16" s="22"/>
      <c r="V16" s="33"/>
      <c r="W16" s="22"/>
      <c r="X16" s="23"/>
      <c r="Y16" s="20">
        <f>U16/100*$U$31+V16/100*$V$31+W16/100*$W$31+X16/100*$X$31+S16</f>
        <v>58688.744680851065</v>
      </c>
      <c r="Z16" s="25">
        <f t="shared" si="0"/>
        <v>2.7502941354678221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60</v>
      </c>
      <c r="G17" s="22"/>
      <c r="H17" s="22"/>
      <c r="I17" s="22"/>
      <c r="J17" s="134">
        <v>0.8625358808115493</v>
      </c>
      <c r="K17" s="22"/>
      <c r="L17" s="22"/>
      <c r="M17" s="22"/>
      <c r="N17" s="22"/>
      <c r="O17" s="22">
        <v>60</v>
      </c>
      <c r="P17" s="22"/>
      <c r="Q17" s="22">
        <v>60</v>
      </c>
      <c r="R17" s="22">
        <v>60</v>
      </c>
      <c r="S17" s="20">
        <f t="shared" si="1"/>
        <v>54778.904743216044</v>
      </c>
      <c r="T17" s="21">
        <f t="shared" si="2"/>
        <v>4.2191257139509455</v>
      </c>
      <c r="U17" s="33"/>
      <c r="V17" s="22">
        <v>100</v>
      </c>
      <c r="W17" s="22"/>
      <c r="X17" s="23">
        <v>100</v>
      </c>
      <c r="Y17" s="20">
        <f t="shared" si="3"/>
        <v>115082.61864287863</v>
      </c>
      <c r="Z17" s="25">
        <f t="shared" si="0"/>
        <v>5.3930451719315791</v>
      </c>
    </row>
    <row r="18" spans="1:27" x14ac:dyDescent="0.25">
      <c r="A18" s="35" t="s">
        <v>38</v>
      </c>
      <c r="B18" s="12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1.639778981931082</v>
      </c>
      <c r="V18" s="22"/>
      <c r="W18" s="22"/>
      <c r="X18" s="23"/>
      <c r="Y18" s="20">
        <f t="shared" si="3"/>
        <v>12712.500000000002</v>
      </c>
      <c r="Z18" s="25">
        <f t="shared" si="0"/>
        <v>0.59573797986758514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4.8017113461365817</v>
      </c>
      <c r="V19" s="22"/>
      <c r="W19" s="22"/>
      <c r="X19" s="23"/>
      <c r="Y19" s="20">
        <f t="shared" si="3"/>
        <v>37225.59940113125</v>
      </c>
      <c r="Z19" s="25">
        <f t="shared" si="0"/>
        <v>1.7444801090729529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8.9105513400547132</v>
      </c>
      <c r="V20" s="22"/>
      <c r="W20" s="22"/>
      <c r="X20" s="23"/>
      <c r="Y20" s="20">
        <f t="shared" si="3"/>
        <v>69079.665710220928</v>
      </c>
      <c r="Z20" s="25">
        <f t="shared" si="0"/>
        <v>3.237237404140421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9.2737182701329954E-2</v>
      </c>
      <c r="V21" s="22"/>
      <c r="W21" s="22"/>
      <c r="X21" s="23"/>
      <c r="Y21" s="20">
        <f t="shared" si="3"/>
        <v>718.95142460132217</v>
      </c>
      <c r="Z21" s="25">
        <f t="shared" si="0"/>
        <v>3.3691773397436703E-2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7.6174989901629626</v>
      </c>
      <c r="V23" s="22"/>
      <c r="W23" s="22"/>
      <c r="X23" s="23"/>
      <c r="Y23" s="20">
        <f t="shared" si="3"/>
        <v>59055.187912218673</v>
      </c>
      <c r="Z23" s="25">
        <f t="shared" si="0"/>
        <v>2.7674665366785276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33">
        <v>19.707932324216912</v>
      </c>
      <c r="V24" s="22"/>
      <c r="W24" s="22"/>
      <c r="X24" s="23"/>
      <c r="Y24" s="20">
        <f t="shared" si="3"/>
        <v>152787.1087703314</v>
      </c>
      <c r="Z24" s="25">
        <f t="shared" si="0"/>
        <v>7.1599672392248745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3.3586371609045966</v>
      </c>
      <c r="V25" s="22"/>
      <c r="W25" s="22"/>
      <c r="X25" s="23"/>
      <c r="Y25" s="20">
        <f t="shared" si="3"/>
        <v>26038.066945899041</v>
      </c>
      <c r="Z25" s="25">
        <f t="shared" si="0"/>
        <v>1.2202057346711375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33">
        <v>3.3586371609045966</v>
      </c>
      <c r="V26" s="22"/>
      <c r="W26" s="22"/>
      <c r="X26" s="23"/>
      <c r="Y26" s="20">
        <f t="shared" si="3"/>
        <v>26038.066945899041</v>
      </c>
      <c r="Z26" s="25">
        <f t="shared" si="0"/>
        <v>1.2202057346711375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49.552728319387512</v>
      </c>
      <c r="V27" s="22"/>
      <c r="W27" s="22"/>
      <c r="X27" s="23"/>
      <c r="Y27" s="20">
        <f t="shared" si="3"/>
        <v>384160.95443446137</v>
      </c>
      <c r="Z27" s="25">
        <f t="shared" si="0"/>
        <v>18.002695845725814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0.95978719359969666</v>
      </c>
      <c r="V28" s="22"/>
      <c r="W28" s="22"/>
      <c r="X28" s="23"/>
      <c r="Y28" s="20">
        <f t="shared" si="3"/>
        <v>7440.8166180220933</v>
      </c>
      <c r="Z28" s="25">
        <f t="shared" si="0"/>
        <v>0.34869436071470111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100</v>
      </c>
      <c r="P30" s="44">
        <f t="shared" si="4"/>
        <v>0</v>
      </c>
      <c r="Q30" s="44">
        <f t="shared" si="4"/>
        <v>100</v>
      </c>
      <c r="R30" s="44">
        <f t="shared" si="4"/>
        <v>100</v>
      </c>
      <c r="S30" s="20">
        <f>+SUM(S6:S29)</f>
        <v>1298347.2988748432</v>
      </c>
      <c r="T30" s="20">
        <f>+SUM(T6:T29)</f>
        <v>100.00000000000001</v>
      </c>
      <c r="U30" s="44">
        <f>SUM(U6:U29)</f>
        <v>99.999999999999986</v>
      </c>
      <c r="V30" s="44">
        <f t="shared" ref="V30" si="5">SUM(V6:V29)</f>
        <v>100</v>
      </c>
      <c r="W30" s="44">
        <f>SUM(W6:W29)</f>
        <v>0</v>
      </c>
      <c r="X30" s="44">
        <f>SUM(X6:X29)</f>
        <v>100</v>
      </c>
      <c r="Y30" s="39">
        <f>SUM(Y6:Y29)</f>
        <v>2133907.9309372907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24995.585106382976</v>
      </c>
      <c r="D31" s="47">
        <v>0</v>
      </c>
      <c r="E31" s="47">
        <v>2344.627659574468</v>
      </c>
      <c r="F31" s="47">
        <v>50097.51063829787</v>
      </c>
      <c r="G31" s="47">
        <v>56344.117021276594</v>
      </c>
      <c r="H31" s="47">
        <v>0</v>
      </c>
      <c r="I31" s="47">
        <v>0</v>
      </c>
      <c r="J31" s="47">
        <v>1139749.3733429282</v>
      </c>
      <c r="K31" s="47">
        <v>0</v>
      </c>
      <c r="L31" s="47">
        <v>0</v>
      </c>
      <c r="M31" s="47">
        <v>0</v>
      </c>
      <c r="N31" s="47">
        <v>0</v>
      </c>
      <c r="O31" s="47">
        <v>2011.0851063829787</v>
      </c>
      <c r="P31" s="47">
        <v>0</v>
      </c>
      <c r="Q31" s="47">
        <v>9611.5</v>
      </c>
      <c r="R31" s="47">
        <v>13193.5</v>
      </c>
      <c r="S31" s="48">
        <f>SUM(C31:R31)</f>
        <v>1298347.2988748432</v>
      </c>
      <c r="T31" s="48">
        <f>S31*100/$S$31</f>
        <v>100</v>
      </c>
      <c r="U31" s="47">
        <v>775256.91816278524</v>
      </c>
      <c r="V31" s="47">
        <v>9453.7138996625854</v>
      </c>
      <c r="W31" s="47">
        <v>0</v>
      </c>
      <c r="X31" s="141">
        <v>50850</v>
      </c>
      <c r="Y31" s="48">
        <f>+S31+U31+V31+W31+X31</f>
        <v>2133907.9309372911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</sheetData>
  <mergeCells count="3">
    <mergeCell ref="A1:Z2"/>
    <mergeCell ref="S4:T4"/>
    <mergeCell ref="Y4:Z4"/>
  </mergeCells>
  <pageMargins left="0.26" right="0.28000000000000003" top="0.74803149606299213" bottom="0.74803149606299213" header="0.31496062992125984" footer="0.31496062992125984"/>
  <pageSetup paperSize="9" scale="5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43"/>
  <sheetViews>
    <sheetView zoomScale="90" zoomScaleNormal="90" workbookViewId="0">
      <selection activeCell="U30" sqref="U30"/>
    </sheetView>
  </sheetViews>
  <sheetFormatPr defaultRowHeight="15" x14ac:dyDescent="0.25"/>
  <cols>
    <col min="1" max="1" width="32.7109375" customWidth="1"/>
    <col min="2" max="2" width="6.5703125" customWidth="1"/>
    <col min="3" max="3" width="8" customWidth="1"/>
    <col min="4" max="4" width="12.5703125" customWidth="1"/>
    <col min="5" max="5" width="12.7109375" customWidth="1"/>
    <col min="6" max="6" width="8.5703125" customWidth="1"/>
    <col min="7" max="7" width="8.140625" bestFit="1" customWidth="1"/>
    <col min="8" max="8" width="10.7109375" bestFit="1" customWidth="1"/>
    <col min="9" max="9" width="10.7109375" customWidth="1"/>
    <col min="10" max="10" width="9" bestFit="1" customWidth="1"/>
    <col min="11" max="12" width="8.85546875" customWidth="1"/>
    <col min="13" max="13" width="5.7109375" bestFit="1" customWidth="1"/>
    <col min="14" max="14" width="7.85546875" customWidth="1"/>
    <col min="15" max="15" width="8.85546875" customWidth="1"/>
    <col min="16" max="16" width="8.140625" bestFit="1" customWidth="1"/>
    <col min="17" max="17" width="7" customWidth="1"/>
    <col min="18" max="18" width="6.42578125" customWidth="1"/>
    <col min="19" max="19" width="10.140625" customWidth="1"/>
    <col min="20" max="20" width="6.140625" customWidth="1"/>
    <col min="21" max="21" width="9.85546875" customWidth="1"/>
    <col min="22" max="22" width="10.7109375" customWidth="1"/>
    <col min="23" max="23" width="9.28515625" bestFit="1" customWidth="1"/>
    <col min="24" max="24" width="13" customWidth="1"/>
    <col min="25" max="25" width="10.28515625" customWidth="1"/>
    <col min="26" max="26" width="6.42578125" customWidth="1"/>
    <col min="27" max="27" width="1.85546875" customWidth="1"/>
  </cols>
  <sheetData>
    <row r="1" spans="1:29" ht="15" customHeight="1" x14ac:dyDescent="0.25">
      <c r="A1" s="325" t="s">
        <v>204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8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6</v>
      </c>
      <c r="G6" s="19"/>
      <c r="H6" s="225">
        <v>10</v>
      </c>
      <c r="I6" s="19"/>
      <c r="J6" s="19">
        <v>10</v>
      </c>
      <c r="K6" s="225">
        <v>10</v>
      </c>
      <c r="L6" s="225">
        <v>10</v>
      </c>
      <c r="M6" s="19"/>
      <c r="N6" s="19"/>
      <c r="O6" s="225">
        <v>10</v>
      </c>
      <c r="P6" s="19">
        <v>6</v>
      </c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277538.07949869195</v>
      </c>
      <c r="T6" s="100">
        <f>S6*100/$S$31</f>
        <v>9.3351543739799343</v>
      </c>
      <c r="U6" s="22"/>
      <c r="V6" s="22"/>
      <c r="W6" s="22"/>
      <c r="X6" s="23"/>
      <c r="Y6" s="20">
        <f>U6/100*$U$31+V6/100*$V$31+W6/100*$W$31+X6/100*$X$31+S6</f>
        <v>277538.07949869195</v>
      </c>
      <c r="Z6" s="25">
        <f t="shared" ref="Z6:Z28" si="0">Y6*100/$Y$31</f>
        <v>8.283474146957424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4</v>
      </c>
      <c r="G7" s="22"/>
      <c r="H7" s="22">
        <v>40</v>
      </c>
      <c r="I7" s="22"/>
      <c r="J7" s="22"/>
      <c r="K7" s="22">
        <v>40</v>
      </c>
      <c r="L7" s="22">
        <v>40</v>
      </c>
      <c r="M7" s="22"/>
      <c r="N7" s="22"/>
      <c r="O7" s="22">
        <v>40</v>
      </c>
      <c r="P7" s="22">
        <v>4</v>
      </c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1069128.6570212767</v>
      </c>
      <c r="T7" s="100">
        <f t="shared" ref="T7:T29" si="2">S7*100/$S$31</f>
        <v>35.960762850873955</v>
      </c>
      <c r="U7" s="22"/>
      <c r="V7" s="22"/>
      <c r="W7" s="22"/>
      <c r="X7" s="23"/>
      <c r="Y7" s="20">
        <f t="shared" ref="Y7:Y29" si="3">U7/100*$U$31+V7/100*$V$31+W7/100*$W$31+X7/100*$X$31+S7</f>
        <v>1069128.6570212767</v>
      </c>
      <c r="Z7" s="25">
        <f t="shared" si="0"/>
        <v>31.909493667332217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17</v>
      </c>
      <c r="G8" s="22"/>
      <c r="H8" s="22">
        <v>20</v>
      </c>
      <c r="I8" s="22"/>
      <c r="J8" s="22"/>
      <c r="K8" s="22">
        <v>20</v>
      </c>
      <c r="L8" s="22">
        <v>20</v>
      </c>
      <c r="M8" s="22"/>
      <c r="N8" s="22"/>
      <c r="O8" s="22">
        <v>20</v>
      </c>
      <c r="P8" s="22">
        <v>17</v>
      </c>
      <c r="Q8" s="22"/>
      <c r="R8" s="22"/>
      <c r="S8" s="20">
        <f t="shared" si="1"/>
        <v>559373.3774468085</v>
      </c>
      <c r="T8" s="100">
        <f t="shared" si="2"/>
        <v>18.814848184409641</v>
      </c>
      <c r="U8" s="22"/>
      <c r="V8" s="22"/>
      <c r="W8" s="22"/>
      <c r="X8" s="23"/>
      <c r="Y8" s="20">
        <f t="shared" si="3"/>
        <v>559373.3774468085</v>
      </c>
      <c r="Z8" s="25">
        <f t="shared" si="0"/>
        <v>16.695204200253659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>
        <v>18</v>
      </c>
      <c r="G9" s="22"/>
      <c r="H9" s="22">
        <v>30</v>
      </c>
      <c r="I9" s="22"/>
      <c r="J9" s="22"/>
      <c r="K9" s="22">
        <v>30</v>
      </c>
      <c r="L9" s="22">
        <v>30</v>
      </c>
      <c r="M9" s="22"/>
      <c r="N9" s="22"/>
      <c r="O9" s="22">
        <v>30</v>
      </c>
      <c r="P9" s="22">
        <v>18</v>
      </c>
      <c r="Q9" s="22"/>
      <c r="R9" s="22"/>
      <c r="S9" s="20">
        <f t="shared" si="1"/>
        <v>826655.54170212767</v>
      </c>
      <c r="T9" s="100">
        <f>S9*100/$S$31</f>
        <v>27.805038897128128</v>
      </c>
      <c r="U9" s="22"/>
      <c r="V9" s="22"/>
      <c r="W9" s="22"/>
      <c r="X9" s="23"/>
      <c r="Y9" s="20">
        <f t="shared" si="3"/>
        <v>826655.54170212767</v>
      </c>
      <c r="Z9" s="25">
        <f t="shared" si="0"/>
        <v>24.672577617086709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>C10/100*$C$31+D10/100*$D$31+E10/100*$E$31+F10/100*$F$31+G10/100*$G$31+H10/100*$H$31+I10/100*$I$31+J10/100*$J$31+K10/100*$K$31+L10/100*$L$31+M10/100*$M$31+N10/100*$N$31+O10/100*$O$31+P10/100*$P$31+Q10/100*$Q$31+R10/100*$R$31</f>
        <v>0</v>
      </c>
      <c r="T10" s="100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>C11/100*$C$31+D11/100*$D$31+E11/100*$E$31+F11/100*$F$31+G11/100*$G$31+H11/100*$H$31+I11/100*$I$31+J11/100*$J$31+K11/100*$K$31+L11/100*$L$31+M11/100*$M$31+N11/100*$N$31+O11/100*$O$31+P11/100*$P$31+Q11/100*$Q$31+R11/100*$R$31</f>
        <v>0</v>
      </c>
      <c r="T11" s="100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100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100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100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>
        <v>20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56986.927659574474</v>
      </c>
      <c r="T15" s="100">
        <f t="shared" si="2"/>
        <v>1.9167883843610081</v>
      </c>
      <c r="U15" s="22"/>
      <c r="V15" s="33"/>
      <c r="W15" s="22"/>
      <c r="X15" s="23"/>
      <c r="Y15" s="20">
        <f t="shared" si="3"/>
        <v>56986.927659574474</v>
      </c>
      <c r="Z15" s="25">
        <f t="shared" si="0"/>
        <v>1.7008467552822528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80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74517.019148936146</v>
      </c>
      <c r="T16" s="100">
        <f t="shared" si="2"/>
        <v>2.5064231852458874</v>
      </c>
      <c r="U16" s="22"/>
      <c r="V16" s="33"/>
      <c r="W16" s="22"/>
      <c r="X16" s="23"/>
      <c r="Y16" s="20">
        <f t="shared" si="3"/>
        <v>74517.019148936146</v>
      </c>
      <c r="Z16" s="25">
        <f t="shared" si="0"/>
        <v>2.2240544531528079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55</v>
      </c>
      <c r="G17" s="22"/>
      <c r="H17" s="22"/>
      <c r="I17" s="22"/>
      <c r="J17" s="22">
        <v>90</v>
      </c>
      <c r="K17" s="22"/>
      <c r="L17" s="22"/>
      <c r="M17" s="22"/>
      <c r="N17" s="22"/>
      <c r="O17" s="22"/>
      <c r="P17" s="22">
        <v>55</v>
      </c>
      <c r="Q17" s="22"/>
      <c r="R17" s="22"/>
      <c r="S17" s="20">
        <f t="shared" si="1"/>
        <v>108842.60314780188</v>
      </c>
      <c r="T17" s="100">
        <f t="shared" si="2"/>
        <v>3.6609841240014549</v>
      </c>
      <c r="U17" s="33"/>
      <c r="V17" s="22">
        <v>100</v>
      </c>
      <c r="W17" s="22"/>
      <c r="X17" s="23"/>
      <c r="Y17" s="20">
        <f t="shared" si="3"/>
        <v>113994.89881578587</v>
      </c>
      <c r="Z17" s="25">
        <f t="shared" si="0"/>
        <v>3.4023215802717988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100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100">
        <f t="shared" si="2"/>
        <v>0</v>
      </c>
      <c r="U19" s="218">
        <v>3</v>
      </c>
      <c r="V19" s="22"/>
      <c r="W19" s="22"/>
      <c r="X19" s="23"/>
      <c r="Y19" s="20">
        <f t="shared" si="3"/>
        <v>11169.26571779904</v>
      </c>
      <c r="Z19" s="25">
        <f t="shared" si="0"/>
        <v>0.33336082738989425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100">
        <f t="shared" si="2"/>
        <v>0</v>
      </c>
      <c r="U20" s="218">
        <v>32</v>
      </c>
      <c r="V20" s="22"/>
      <c r="W20" s="22"/>
      <c r="X20" s="23"/>
      <c r="Y20" s="20">
        <f t="shared" si="3"/>
        <v>119138.83432318976</v>
      </c>
      <c r="Z20" s="25">
        <f t="shared" si="0"/>
        <v>3.5558488254922058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100">
        <f t="shared" si="2"/>
        <v>0</v>
      </c>
      <c r="U21" s="218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100">
        <f t="shared" si="2"/>
        <v>0</v>
      </c>
      <c r="U22" s="218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100">
        <f t="shared" si="2"/>
        <v>0</v>
      </c>
      <c r="U23" s="218"/>
      <c r="V23" s="22"/>
      <c r="W23" s="22"/>
      <c r="X23" s="23"/>
      <c r="Y23" s="20">
        <f t="shared" si="3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100">
        <f t="shared" si="2"/>
        <v>0</v>
      </c>
      <c r="U24" s="220">
        <v>40</v>
      </c>
      <c r="V24" s="22"/>
      <c r="W24" s="22"/>
      <c r="X24" s="23"/>
      <c r="Y24" s="20">
        <f t="shared" si="3"/>
        <v>148923.5429039872</v>
      </c>
      <c r="Z24" s="25">
        <f t="shared" si="0"/>
        <v>4.4448110318652567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100">
        <f t="shared" si="2"/>
        <v>0</v>
      </c>
      <c r="U25" s="218">
        <v>4</v>
      </c>
      <c r="V25" s="22"/>
      <c r="W25" s="22"/>
      <c r="X25" s="23"/>
      <c r="Y25" s="20">
        <f t="shared" si="3"/>
        <v>14892.35429039872</v>
      </c>
      <c r="Z25" s="25">
        <f t="shared" si="0"/>
        <v>0.44448110318652573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100">
        <f t="shared" si="2"/>
        <v>0</v>
      </c>
      <c r="U26" s="220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100">
        <f t="shared" si="2"/>
        <v>0</v>
      </c>
      <c r="U27" s="218">
        <v>16</v>
      </c>
      <c r="V27" s="22"/>
      <c r="W27" s="22"/>
      <c r="X27" s="23"/>
      <c r="Y27" s="20">
        <f t="shared" si="3"/>
        <v>59569.41716159488</v>
      </c>
      <c r="Z27" s="25">
        <f t="shared" si="0"/>
        <v>1.7779244127461029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100">
        <f t="shared" si="2"/>
        <v>0</v>
      </c>
      <c r="U28" s="218">
        <v>2</v>
      </c>
      <c r="V28" s="22"/>
      <c r="W28" s="22"/>
      <c r="X28" s="23"/>
      <c r="Y28" s="20">
        <f t="shared" si="3"/>
        <v>7446.17714519936</v>
      </c>
      <c r="Z28" s="25">
        <f t="shared" si="0"/>
        <v>0.22224055159326286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100">
        <f t="shared" si="2"/>
        <v>0</v>
      </c>
      <c r="U29" s="226">
        <v>3</v>
      </c>
      <c r="V29" s="38"/>
      <c r="W29" s="38"/>
      <c r="X29" s="41"/>
      <c r="Y29" s="39">
        <f t="shared" si="3"/>
        <v>11169.26571779904</v>
      </c>
      <c r="Z29" s="42">
        <f>Y29*100/$Y$31</f>
        <v>0.33336082738989425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100</v>
      </c>
      <c r="L30" s="44">
        <f t="shared" si="4"/>
        <v>100</v>
      </c>
      <c r="M30" s="44">
        <f t="shared" si="4"/>
        <v>0</v>
      </c>
      <c r="N30" s="44">
        <f t="shared" si="4"/>
        <v>0</v>
      </c>
      <c r="O30" s="44">
        <f t="shared" si="4"/>
        <v>100</v>
      </c>
      <c r="P30" s="44">
        <f t="shared" si="4"/>
        <v>100</v>
      </c>
      <c r="Q30" s="44">
        <f t="shared" si="4"/>
        <v>0</v>
      </c>
      <c r="R30" s="44">
        <f t="shared" si="4"/>
        <v>0</v>
      </c>
      <c r="S30" s="20">
        <f>+SUM(S6:S29)</f>
        <v>2973042.2056252169</v>
      </c>
      <c r="T30" s="227">
        <f>+SUM(T6:T29)</f>
        <v>100.00000000000003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0</v>
      </c>
      <c r="Y30" s="39">
        <f>SUM(Y6:Y29)</f>
        <v>3350503.3585531688</v>
      </c>
      <c r="Z30" s="42">
        <f>SUM(Z6:Z29)</f>
        <v>100.00000000000003</v>
      </c>
    </row>
    <row r="31" spans="1:27" ht="15.75" thickBot="1" x14ac:dyDescent="0.3">
      <c r="A31" s="45" t="s">
        <v>51</v>
      </c>
      <c r="B31" s="46" t="s">
        <v>24</v>
      </c>
      <c r="C31" s="47">
        <v>39278.776595744697</v>
      </c>
      <c r="D31" s="47">
        <v>0</v>
      </c>
      <c r="E31" s="47">
        <v>3684.41489361702</v>
      </c>
      <c r="F31" s="47">
        <v>78724.659574468096</v>
      </c>
      <c r="G31" s="47">
        <v>88540.755319148899</v>
      </c>
      <c r="H31" s="47">
        <v>1688592</v>
      </c>
      <c r="I31" s="47">
        <v>0</v>
      </c>
      <c r="J31" s="47">
        <v>19862.322646493802</v>
      </c>
      <c r="K31" s="47">
        <v>812872</v>
      </c>
      <c r="L31" s="47">
        <v>151658</v>
      </c>
      <c r="M31" s="47">
        <v>0</v>
      </c>
      <c r="N31" s="47">
        <v>0</v>
      </c>
      <c r="O31" s="47">
        <v>3160.27659574468</v>
      </c>
      <c r="P31" s="47">
        <v>86669</v>
      </c>
      <c r="Q31" s="47">
        <v>0</v>
      </c>
      <c r="R31" s="47">
        <v>0</v>
      </c>
      <c r="S31" s="48">
        <f>SUM(C31:R31)</f>
        <v>2973042.2056252169</v>
      </c>
      <c r="T31" s="48">
        <f>S31*100/$S$31</f>
        <v>100</v>
      </c>
      <c r="U31" s="47">
        <v>372308.857259968</v>
      </c>
      <c r="V31" s="47">
        <v>5152.2956679839899</v>
      </c>
      <c r="W31" s="47">
        <v>0</v>
      </c>
      <c r="X31" s="141">
        <v>0</v>
      </c>
      <c r="Y31" s="48">
        <f>+S31+U31+V31+W31+X31</f>
        <v>3350503.3585531688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  <c r="I35" s="81"/>
      <c r="J35" s="228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  <c r="I36" s="81"/>
      <c r="J36" s="228"/>
    </row>
    <row r="37" spans="1:19" x14ac:dyDescent="0.25">
      <c r="A37" s="11" t="s">
        <v>57</v>
      </c>
      <c r="B37" s="38" t="s">
        <v>205</v>
      </c>
      <c r="C37" s="38"/>
      <c r="D37" s="38"/>
      <c r="E37" s="38"/>
      <c r="F37" s="41"/>
      <c r="G37" s="10"/>
      <c r="I37" s="81"/>
      <c r="J37" s="228"/>
    </row>
    <row r="38" spans="1:19" x14ac:dyDescent="0.25">
      <c r="A38" t="s">
        <v>58</v>
      </c>
      <c r="G38" s="10"/>
      <c r="I38" s="81"/>
      <c r="J38" s="228"/>
    </row>
    <row r="39" spans="1:19" ht="14.25" customHeight="1" x14ac:dyDescent="0.3">
      <c r="A39" s="60"/>
      <c r="B39" s="61"/>
      <c r="G39" s="10"/>
      <c r="I39" s="81"/>
      <c r="J39" s="228"/>
    </row>
    <row r="40" spans="1:19" ht="18.75" x14ac:dyDescent="0.3">
      <c r="A40" s="60"/>
      <c r="B40" s="60"/>
    </row>
    <row r="41" spans="1:19" ht="18.75" x14ac:dyDescent="0.3">
      <c r="A41" s="60"/>
      <c r="B41" s="60"/>
    </row>
    <row r="42" spans="1:19" ht="18.75" x14ac:dyDescent="0.3">
      <c r="A42" s="142"/>
      <c r="B42" s="65"/>
    </row>
    <row r="43" spans="1:19" ht="18.75" x14ac:dyDescent="0.3">
      <c r="A43" s="60"/>
      <c r="B43" s="65"/>
    </row>
  </sheetData>
  <mergeCells count="3">
    <mergeCell ref="A1:Z2"/>
    <mergeCell ref="S4:T4"/>
    <mergeCell ref="Y4:Z4"/>
  </mergeCells>
  <pageMargins left="0.3" right="0.28000000000000003" top="0.74803149606299213" bottom="0.74803149606299213" header="0.31496062992125984" footer="0.31496062992125984"/>
  <pageSetup paperSize="9"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47"/>
  <sheetViews>
    <sheetView zoomScale="90" zoomScaleNormal="90" workbookViewId="0">
      <selection activeCell="U30" sqref="U30"/>
    </sheetView>
  </sheetViews>
  <sheetFormatPr defaultRowHeight="15" x14ac:dyDescent="0.25"/>
  <cols>
    <col min="1" max="1" width="34.5703125" customWidth="1"/>
    <col min="2" max="2" width="7.28515625" customWidth="1"/>
    <col min="3" max="3" width="8.28515625" customWidth="1"/>
    <col min="4" max="5" width="12.5703125" customWidth="1"/>
    <col min="6" max="6" width="9.140625" customWidth="1"/>
    <col min="7" max="8" width="8.85546875" customWidth="1"/>
    <col min="9" max="9" width="11.28515625" customWidth="1"/>
    <col min="10" max="10" width="9.140625" bestFit="1" customWidth="1"/>
    <col min="11" max="11" width="5.85546875" customWidth="1"/>
    <col min="12" max="12" width="6" customWidth="1"/>
    <col min="13" max="13" width="5.7109375" bestFit="1" customWidth="1"/>
    <col min="14" max="14" width="7.85546875" bestFit="1" customWidth="1"/>
    <col min="15" max="15" width="9" customWidth="1"/>
    <col min="16" max="16" width="7" bestFit="1" customWidth="1"/>
    <col min="17" max="17" width="7.28515625" bestFit="1" customWidth="1"/>
    <col min="18" max="18" width="8.140625" bestFit="1" customWidth="1"/>
    <col min="19" max="19" width="10.28515625" customWidth="1"/>
    <col min="20" max="20" width="6.85546875" customWidth="1"/>
    <col min="21" max="21" width="11.140625" customWidth="1"/>
    <col min="22" max="22" width="11.140625" bestFit="1" customWidth="1"/>
    <col min="23" max="23" width="9.28515625" bestFit="1" customWidth="1"/>
    <col min="24" max="24" width="13" customWidth="1"/>
    <col min="25" max="25" width="10.28515625" customWidth="1"/>
    <col min="26" max="26" width="6.85546875" customWidth="1"/>
    <col min="27" max="27" width="1.85546875" customWidth="1"/>
  </cols>
  <sheetData>
    <row r="1" spans="1:29" ht="15" customHeight="1" x14ac:dyDescent="0.25">
      <c r="A1" s="325" t="s">
        <v>202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8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13</v>
      </c>
      <c r="G6" s="19">
        <v>13</v>
      </c>
      <c r="H6" s="19">
        <v>13</v>
      </c>
      <c r="I6" s="19"/>
      <c r="J6" s="19">
        <v>10</v>
      </c>
      <c r="K6" s="19"/>
      <c r="L6" s="19"/>
      <c r="M6" s="19"/>
      <c r="N6" s="19">
        <v>15</v>
      </c>
      <c r="O6" s="19">
        <v>15</v>
      </c>
      <c r="P6" s="19"/>
      <c r="Q6" s="19">
        <v>13</v>
      </c>
      <c r="R6" s="19">
        <v>15</v>
      </c>
      <c r="S6" s="24">
        <f>C6/100*$C$31+D6/100*$D$31+E6/100*$E$31+F6/100*$F$31+G6/100*$G$31+H6/100*$H$31+I6/100*$I$31+J6/100*$J$31+K6/100*$K$31+L6/100*$L$31+M6/100*$M$31+N6/100*$N$31+O6/100*$O$31+P6/100*$P$31+Q6/100*$Q$31+R6/100*$R$31</f>
        <v>199154.86061382375</v>
      </c>
      <c r="T6" s="100">
        <f>S6*100/$S$31</f>
        <v>11.17149529838483</v>
      </c>
      <c r="U6" s="22"/>
      <c r="V6" s="22"/>
      <c r="W6" s="22"/>
      <c r="X6" s="23"/>
      <c r="Y6" s="20">
        <f>U6/100*$U$31+V6/100*$V$31+W6/100*$W$31+X6/100*$X$31+S6</f>
        <v>199154.86061382375</v>
      </c>
      <c r="Z6" s="25">
        <f t="shared" ref="Z6:Z28" si="0">Y6*100/$Y$31</f>
        <v>5.0624349644682454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43</v>
      </c>
      <c r="G7" s="22">
        <v>23</v>
      </c>
      <c r="H7" s="22">
        <v>23</v>
      </c>
      <c r="I7" s="22"/>
      <c r="J7" s="22">
        <v>50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646491.52817550173</v>
      </c>
      <c r="T7" s="100">
        <f>S7*100/$S$31</f>
        <v>36.264628667350379</v>
      </c>
      <c r="U7" s="22"/>
      <c r="V7" s="22">
        <v>50</v>
      </c>
      <c r="W7" s="22"/>
      <c r="X7" s="22">
        <v>50</v>
      </c>
      <c r="Y7" s="20">
        <f t="shared" ref="Y7:Y29" si="2">U7/100*$U$31+V7/100*$V$31+W7/100*$W$31+X7/100*$X$31+S7</f>
        <v>1154269.5233916785</v>
      </c>
      <c r="Z7" s="25">
        <f t="shared" si="0"/>
        <v>29.341058388572044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22</v>
      </c>
      <c r="G8" s="22">
        <v>1</v>
      </c>
      <c r="H8" s="22">
        <v>1</v>
      </c>
      <c r="I8" s="22"/>
      <c r="J8" s="22">
        <v>9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106874.30119073925</v>
      </c>
      <c r="T8" s="100">
        <f>S8*100/$S$31</f>
        <v>5.9950620817920104</v>
      </c>
      <c r="U8" s="22"/>
      <c r="V8" s="22">
        <v>10</v>
      </c>
      <c r="W8" s="22"/>
      <c r="X8" s="22"/>
      <c r="Y8" s="20">
        <f t="shared" si="2"/>
        <v>203344.90023397462</v>
      </c>
      <c r="Z8" s="25">
        <f t="shared" si="0"/>
        <v>5.168944054982938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>
        <v>5</v>
      </c>
      <c r="H9" s="22">
        <v>5</v>
      </c>
      <c r="I9" s="22"/>
      <c r="J9" s="22">
        <v>9</v>
      </c>
      <c r="K9" s="22"/>
      <c r="L9" s="22"/>
      <c r="M9" s="22"/>
      <c r="N9" s="22"/>
      <c r="O9" s="22"/>
      <c r="P9" s="22"/>
      <c r="Q9" s="22"/>
      <c r="R9" s="22"/>
      <c r="S9" s="20">
        <f t="shared" si="1"/>
        <v>115309.86374393073</v>
      </c>
      <c r="T9" s="100">
        <f t="shared" ref="T9:T17" si="3">S9*100/$S$31</f>
        <v>6.4682508712182649</v>
      </c>
      <c r="U9" s="22"/>
      <c r="V9" s="22"/>
      <c r="W9" s="22"/>
      <c r="X9" s="22"/>
      <c r="Y9" s="20">
        <f t="shared" si="2"/>
        <v>115309.86374393073</v>
      </c>
      <c r="Z9" s="25">
        <f t="shared" si="0"/>
        <v>2.9311294947366449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>
        <v>35</v>
      </c>
      <c r="H10" s="22">
        <v>35</v>
      </c>
      <c r="I10" s="22"/>
      <c r="J10" s="22">
        <v>10</v>
      </c>
      <c r="K10" s="22"/>
      <c r="L10" s="22"/>
      <c r="M10" s="22"/>
      <c r="N10" s="22"/>
      <c r="O10" s="22"/>
      <c r="P10" s="22"/>
      <c r="Q10" s="22"/>
      <c r="R10" s="22"/>
      <c r="S10" s="20">
        <f t="shared" si="1"/>
        <v>344750.77508190885</v>
      </c>
      <c r="T10" s="100">
        <f t="shared" si="3"/>
        <v>19.338627493557336</v>
      </c>
      <c r="U10" s="22"/>
      <c r="V10" s="22">
        <v>20</v>
      </c>
      <c r="W10" s="22"/>
      <c r="X10" s="22"/>
      <c r="Y10" s="20">
        <f t="shared" si="2"/>
        <v>537691.97316837963</v>
      </c>
      <c r="Z10" s="25">
        <f t="shared" si="0"/>
        <v>13.667909669348964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>
        <v>1</v>
      </c>
      <c r="H11" s="22">
        <v>1</v>
      </c>
      <c r="I11" s="22"/>
      <c r="J11" s="22">
        <v>2</v>
      </c>
      <c r="K11" s="22"/>
      <c r="L11" s="22"/>
      <c r="M11" s="22"/>
      <c r="N11" s="22"/>
      <c r="O11" s="22"/>
      <c r="P11" s="22"/>
      <c r="Q11" s="22"/>
      <c r="R11" s="22"/>
      <c r="S11" s="20">
        <f t="shared" si="1"/>
        <v>24806.947356807304</v>
      </c>
      <c r="T11" s="100">
        <f t="shared" si="3"/>
        <v>1.3915336784133532</v>
      </c>
      <c r="U11" s="22"/>
      <c r="V11" s="22"/>
      <c r="W11" s="22"/>
      <c r="X11" s="23"/>
      <c r="Y11" s="20">
        <f t="shared" si="2"/>
        <v>24806.947356807304</v>
      </c>
      <c r="Z11" s="25">
        <f t="shared" si="0"/>
        <v>0.63058243857949503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100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>
        <v>3</v>
      </c>
      <c r="H13" s="22">
        <v>3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22071.603829787233</v>
      </c>
      <c r="T13" s="100">
        <f t="shared" si="3"/>
        <v>1.238095910149057</v>
      </c>
      <c r="U13" s="22"/>
      <c r="V13" s="22"/>
      <c r="W13" s="22"/>
      <c r="X13" s="23"/>
      <c r="Y13" s="20">
        <f t="shared" si="2"/>
        <v>22071.603829787233</v>
      </c>
      <c r="Z13" s="25">
        <f t="shared" si="0"/>
        <v>0.56105112677350477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>
        <v>18</v>
      </c>
      <c r="H14" s="22">
        <v>18</v>
      </c>
      <c r="I14" s="22"/>
      <c r="J14" s="22">
        <v>5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176053.98817925231</v>
      </c>
      <c r="T14" s="100">
        <f t="shared" si="3"/>
        <v>9.8756630651368429</v>
      </c>
      <c r="U14" s="22"/>
      <c r="V14" s="22"/>
      <c r="W14" s="22"/>
      <c r="X14" s="23"/>
      <c r="Y14" s="20">
        <f t="shared" si="2"/>
        <v>176053.98817925231</v>
      </c>
      <c r="Z14" s="25">
        <f t="shared" si="0"/>
        <v>4.4752202514451787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>
        <v>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48683.859574468086</v>
      </c>
      <c r="T15" s="100">
        <f t="shared" si="3"/>
        <v>2.730897486845703</v>
      </c>
      <c r="U15" s="22"/>
      <c r="V15" s="33"/>
      <c r="W15" s="22"/>
      <c r="X15" s="23"/>
      <c r="Y15" s="20">
        <f t="shared" si="2"/>
        <v>48683.859574468086</v>
      </c>
      <c r="Z15" s="25">
        <f t="shared" si="0"/>
        <v>1.2375237649506916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4465.9574468085111</v>
      </c>
      <c r="T16" s="100">
        <f t="shared" si="3"/>
        <v>0.25051571659378791</v>
      </c>
      <c r="U16" s="22"/>
      <c r="V16" s="33"/>
      <c r="W16" s="22"/>
      <c r="X16" s="23"/>
      <c r="Y16" s="20">
        <f t="shared" si="2"/>
        <v>4465.9574468085111</v>
      </c>
      <c r="Z16" s="25">
        <f t="shared" si="0"/>
        <v>0.11352280862675278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22</v>
      </c>
      <c r="G17" s="22"/>
      <c r="H17" s="22">
        <v>1</v>
      </c>
      <c r="I17" s="22"/>
      <c r="J17" s="22">
        <v>5</v>
      </c>
      <c r="K17" s="22"/>
      <c r="L17" s="22"/>
      <c r="M17" s="22"/>
      <c r="N17" s="22">
        <v>85</v>
      </c>
      <c r="O17" s="22">
        <v>85</v>
      </c>
      <c r="P17" s="22"/>
      <c r="Q17" s="22">
        <v>87</v>
      </c>
      <c r="R17" s="22">
        <v>85</v>
      </c>
      <c r="S17" s="20">
        <f t="shared" si="1"/>
        <v>94041.810306911895</v>
      </c>
      <c r="T17" s="100">
        <f t="shared" si="3"/>
        <v>5.2752297305584364</v>
      </c>
      <c r="U17" s="218">
        <v>1</v>
      </c>
      <c r="V17" s="22">
        <v>20</v>
      </c>
      <c r="W17" s="22"/>
      <c r="X17" s="23">
        <v>50</v>
      </c>
      <c r="Y17" s="20">
        <f t="shared" si="2"/>
        <v>323765.1306391551</v>
      </c>
      <c r="Z17" s="25">
        <f t="shared" si="0"/>
        <v>8.2299769765675439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100">
        <f>S18*100/$S$31</f>
        <v>0</v>
      </c>
      <c r="U18" s="219">
        <v>1.5</v>
      </c>
      <c r="V18" s="22"/>
      <c r="W18" s="22"/>
      <c r="X18" s="23"/>
      <c r="Y18" s="20">
        <f t="shared" si="2"/>
        <v>17035.683368658705</v>
      </c>
      <c r="Z18" s="25">
        <f t="shared" si="0"/>
        <v>0.43304009183254533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100">
        <f t="shared" ref="T19:T29" si="4">S19*100/$S$31</f>
        <v>0</v>
      </c>
      <c r="U19" s="218">
        <v>4</v>
      </c>
      <c r="V19" s="22"/>
      <c r="W19" s="22"/>
      <c r="X19" s="23"/>
      <c r="Y19" s="20">
        <f t="shared" si="2"/>
        <v>45428.48898308989</v>
      </c>
      <c r="Z19" s="25">
        <f t="shared" si="0"/>
        <v>1.1547735782201209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100">
        <f t="shared" si="4"/>
        <v>0</v>
      </c>
      <c r="U20" s="218">
        <v>17</v>
      </c>
      <c r="V20" s="22"/>
      <c r="W20" s="22"/>
      <c r="X20" s="23"/>
      <c r="Y20" s="20">
        <f t="shared" si="2"/>
        <v>193071.07817813204</v>
      </c>
      <c r="Z20" s="25">
        <f t="shared" si="0"/>
        <v>4.9077877074355145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100">
        <f t="shared" si="4"/>
        <v>0</v>
      </c>
      <c r="U21" s="218">
        <v>0</v>
      </c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100">
        <f t="shared" si="4"/>
        <v>0</v>
      </c>
      <c r="U22" s="218">
        <v>27</v>
      </c>
      <c r="V22" s="22"/>
      <c r="W22" s="22"/>
      <c r="X22" s="23"/>
      <c r="Y22" s="20">
        <f t="shared" si="2"/>
        <v>306642.30063585675</v>
      </c>
      <c r="Z22" s="25">
        <f t="shared" si="0"/>
        <v>7.7947216529858174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100">
        <f t="shared" si="4"/>
        <v>0</v>
      </c>
      <c r="U23" s="219">
        <v>1.5</v>
      </c>
      <c r="V23" s="22"/>
      <c r="W23" s="22"/>
      <c r="X23" s="23"/>
      <c r="Y23" s="20">
        <f t="shared" si="2"/>
        <v>17035.683368658705</v>
      </c>
      <c r="Z23" s="25">
        <f t="shared" si="0"/>
        <v>0.43304009183254533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100">
        <f t="shared" si="4"/>
        <v>0</v>
      </c>
      <c r="U24" s="220">
        <v>9</v>
      </c>
      <c r="V24" s="22"/>
      <c r="W24" s="22"/>
      <c r="X24" s="23"/>
      <c r="Y24" s="20">
        <f t="shared" si="2"/>
        <v>102214.10021195225</v>
      </c>
      <c r="Z24" s="25">
        <f t="shared" si="0"/>
        <v>2.5982405509952726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100">
        <f t="shared" si="4"/>
        <v>0</v>
      </c>
      <c r="U25" s="218">
        <v>8</v>
      </c>
      <c r="V25" s="22"/>
      <c r="W25" s="22"/>
      <c r="X25" s="23"/>
      <c r="Y25" s="20">
        <f t="shared" si="2"/>
        <v>90856.97796617978</v>
      </c>
      <c r="Z25" s="25">
        <f t="shared" si="0"/>
        <v>2.3095471564402419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100">
        <f t="shared" si="4"/>
        <v>0</v>
      </c>
      <c r="U26" s="220">
        <v>1</v>
      </c>
      <c r="V26" s="22"/>
      <c r="W26" s="22"/>
      <c r="X26" s="23"/>
      <c r="Y26" s="20">
        <f t="shared" si="2"/>
        <v>11357.122245772473</v>
      </c>
      <c r="Z26" s="25">
        <f t="shared" si="0"/>
        <v>0.28869339455503024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100">
        <f t="shared" si="4"/>
        <v>0</v>
      </c>
      <c r="U27" s="218">
        <v>26</v>
      </c>
      <c r="V27" s="22"/>
      <c r="W27" s="22"/>
      <c r="X27" s="23"/>
      <c r="Y27" s="20">
        <f t="shared" si="2"/>
        <v>295285.1783900843</v>
      </c>
      <c r="Z27" s="25">
        <f t="shared" si="0"/>
        <v>7.5060282584307876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100">
        <f t="shared" si="4"/>
        <v>0</v>
      </c>
      <c r="U28" s="218">
        <v>4</v>
      </c>
      <c r="V28" s="22"/>
      <c r="W28" s="22"/>
      <c r="X28" s="23"/>
      <c r="Y28" s="20">
        <f t="shared" si="2"/>
        <v>45428.48898308989</v>
      </c>
      <c r="Z28" s="25">
        <f t="shared" si="0"/>
        <v>1.1547735782201209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101">
        <f t="shared" si="4"/>
        <v>0</v>
      </c>
      <c r="U29" s="38">
        <v>0</v>
      </c>
      <c r="V29" s="38"/>
      <c r="W29" s="38"/>
      <c r="X29" s="41"/>
      <c r="Y29" s="39">
        <f t="shared" si="2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100</v>
      </c>
      <c r="S30" s="20">
        <f>+SUM(S6:S29)</f>
        <v>1782705.4954999397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3933973.71050954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47610.638297872341</v>
      </c>
      <c r="D31" s="47"/>
      <c r="E31" s="47">
        <v>4465.9574468085111</v>
      </c>
      <c r="F31" s="47">
        <v>95423.829787234048</v>
      </c>
      <c r="G31" s="47">
        <v>107322.12765957447</v>
      </c>
      <c r="H31" s="47">
        <v>628398</v>
      </c>
      <c r="I31" s="47"/>
      <c r="J31" s="47">
        <v>872487.30401057797</v>
      </c>
      <c r="K31" s="47"/>
      <c r="L31" s="47"/>
      <c r="M31" s="47"/>
      <c r="N31" s="47">
        <v>362</v>
      </c>
      <c r="O31" s="47">
        <v>3830.6382978723404</v>
      </c>
      <c r="P31" s="47"/>
      <c r="Q31" s="47">
        <v>9611.5</v>
      </c>
      <c r="R31" s="47">
        <v>13193.5</v>
      </c>
      <c r="S31" s="48">
        <f>SUM(C31:R31)</f>
        <v>1782705.4954999397</v>
      </c>
      <c r="T31" s="48">
        <f>S31*100/$S$31</f>
        <v>100</v>
      </c>
      <c r="U31" s="47">
        <v>1135712.2245772472</v>
      </c>
      <c r="V31" s="47">
        <v>964705.99043235346</v>
      </c>
      <c r="W31" s="47"/>
      <c r="X31" s="141">
        <v>50850</v>
      </c>
      <c r="Y31" s="48">
        <f>+S31+U31+V31+W31+X31</f>
        <v>3933973.7105095405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4" x14ac:dyDescent="0.25">
      <c r="A33" s="55"/>
      <c r="S33" s="1"/>
    </row>
    <row r="34" spans="1:24" x14ac:dyDescent="0.25">
      <c r="A34" s="56" t="s">
        <v>53</v>
      </c>
      <c r="B34" s="57"/>
      <c r="C34" s="57"/>
      <c r="D34" s="57"/>
      <c r="E34" s="57"/>
      <c r="F34" s="58"/>
      <c r="G34" s="10"/>
      <c r="J34" s="221"/>
      <c r="U34" s="222"/>
      <c r="V34" s="222"/>
      <c r="X34" s="99"/>
    </row>
    <row r="35" spans="1:24" x14ac:dyDescent="0.25">
      <c r="A35" s="59" t="s">
        <v>54</v>
      </c>
      <c r="B35" s="22"/>
      <c r="C35" s="22"/>
      <c r="D35" s="22"/>
      <c r="E35" s="22"/>
      <c r="F35" s="23"/>
      <c r="G35" s="10"/>
      <c r="I35" s="10"/>
      <c r="U35" s="10"/>
    </row>
    <row r="36" spans="1:24" x14ac:dyDescent="0.25">
      <c r="A36" s="59" t="s">
        <v>56</v>
      </c>
      <c r="B36" s="22" t="s">
        <v>203</v>
      </c>
      <c r="C36" s="22"/>
      <c r="D36" s="22"/>
      <c r="E36" s="22"/>
      <c r="F36" s="23"/>
      <c r="G36" s="10"/>
      <c r="I36" s="221"/>
      <c r="J36" s="163"/>
      <c r="Q36" s="10"/>
      <c r="U36" s="221"/>
      <c r="W36" s="10"/>
      <c r="X36" s="99"/>
    </row>
    <row r="37" spans="1:24" x14ac:dyDescent="0.25">
      <c r="A37" s="11" t="s">
        <v>57</v>
      </c>
      <c r="B37" s="38"/>
      <c r="C37" s="38"/>
      <c r="D37" s="38"/>
      <c r="E37" s="38"/>
      <c r="F37" s="41"/>
      <c r="G37" s="10"/>
      <c r="H37" s="221"/>
      <c r="I37" s="221"/>
      <c r="J37" s="163"/>
      <c r="K37" s="10"/>
      <c r="L37" s="10"/>
      <c r="M37" s="10"/>
      <c r="N37" s="10"/>
      <c r="O37" s="10"/>
      <c r="P37" s="10"/>
      <c r="Q37" s="221"/>
      <c r="R37" s="10"/>
      <c r="S37" s="10"/>
      <c r="T37" s="10"/>
      <c r="U37" s="221"/>
      <c r="V37" s="221"/>
      <c r="W37" s="223"/>
      <c r="X37" s="99"/>
    </row>
    <row r="38" spans="1:24" x14ac:dyDescent="0.25">
      <c r="A38" t="s">
        <v>58</v>
      </c>
      <c r="G38" s="10"/>
      <c r="I38" s="224"/>
      <c r="J38" s="163"/>
      <c r="Q38" s="10"/>
      <c r="U38" s="10"/>
      <c r="W38" s="10"/>
      <c r="X38" s="99"/>
    </row>
    <row r="39" spans="1:24" ht="18.75" x14ac:dyDescent="0.3">
      <c r="A39" s="60"/>
      <c r="B39" s="61"/>
      <c r="G39" s="10"/>
      <c r="I39" s="221"/>
      <c r="J39" s="163"/>
      <c r="W39" s="10"/>
    </row>
    <row r="40" spans="1:24" ht="18.75" x14ac:dyDescent="0.3">
      <c r="A40" s="60"/>
      <c r="B40" s="61"/>
      <c r="I40" s="221"/>
      <c r="J40" s="163"/>
    </row>
    <row r="41" spans="1:24" ht="18.75" x14ac:dyDescent="0.3">
      <c r="B41" s="61"/>
      <c r="I41" s="221"/>
    </row>
    <row r="42" spans="1:24" x14ac:dyDescent="0.25">
      <c r="A42" s="10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10"/>
    </row>
    <row r="43" spans="1:24" x14ac:dyDescent="0.25">
      <c r="A43" s="62"/>
      <c r="C43" s="63"/>
      <c r="F43" s="64"/>
      <c r="G43" s="64"/>
      <c r="I43" s="221"/>
    </row>
    <row r="44" spans="1:24" ht="18.75" x14ac:dyDescent="0.3">
      <c r="A44" s="60"/>
      <c r="B44" s="61"/>
      <c r="I44" s="221"/>
    </row>
    <row r="45" spans="1:24" ht="18.75" x14ac:dyDescent="0.3">
      <c r="A45" s="60"/>
      <c r="B45" s="61"/>
      <c r="I45" s="221"/>
    </row>
    <row r="46" spans="1:24" ht="18.75" x14ac:dyDescent="0.3">
      <c r="A46" s="142"/>
      <c r="B46" s="65"/>
      <c r="I46" s="221"/>
    </row>
    <row r="47" spans="1:24" ht="18.75" x14ac:dyDescent="0.3">
      <c r="A47" s="60"/>
      <c r="B47" s="65"/>
      <c r="I47" s="221"/>
    </row>
  </sheetData>
  <mergeCells count="3">
    <mergeCell ref="A1:Z2"/>
    <mergeCell ref="S4:T4"/>
    <mergeCell ref="Y4:Z4"/>
  </mergeCells>
  <pageMargins left="0.28999999999999998" right="0.21" top="0.74803149606299213" bottom="0.74803149606299213" header="0.31496062992125984" footer="0.31496062992125984"/>
  <pageSetup paperSize="9" scale="5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5"/>
  <sheetViews>
    <sheetView zoomScale="90" zoomScaleNormal="90" workbookViewId="0">
      <selection activeCell="U30" sqref="U30"/>
    </sheetView>
  </sheetViews>
  <sheetFormatPr defaultRowHeight="15" x14ac:dyDescent="0.25"/>
  <cols>
    <col min="1" max="1" width="34" customWidth="1"/>
    <col min="2" max="2" width="7.28515625" customWidth="1"/>
    <col min="3" max="3" width="8.140625" bestFit="1" customWidth="1"/>
    <col min="4" max="4" width="13.28515625" customWidth="1"/>
    <col min="5" max="5" width="12.7109375" customWidth="1"/>
    <col min="6" max="6" width="8.140625" bestFit="1" customWidth="1"/>
    <col min="7" max="7" width="9.140625" bestFit="1" customWidth="1"/>
    <col min="8" max="8" width="8.28515625" bestFit="1" customWidth="1"/>
    <col min="9" max="9" width="11" customWidth="1"/>
    <col min="10" max="10" width="10.7109375" customWidth="1"/>
    <col min="11" max="11" width="6.42578125" customWidth="1"/>
    <col min="12" max="13" width="5.85546875" customWidth="1"/>
    <col min="14" max="14" width="7.85546875" bestFit="1" customWidth="1"/>
    <col min="15" max="15" width="9.42578125" customWidth="1"/>
    <col min="16" max="16" width="7" bestFit="1" customWidth="1"/>
    <col min="17" max="17" width="8.140625" bestFit="1" customWidth="1"/>
    <col min="18" max="18" width="6.42578125" bestFit="1" customWidth="1"/>
    <col min="19" max="19" width="10.85546875" customWidth="1"/>
    <col min="20" max="20" width="7.5703125" customWidth="1"/>
    <col min="21" max="21" width="9.7109375" customWidth="1"/>
    <col min="22" max="22" width="11.140625" bestFit="1" customWidth="1"/>
    <col min="23" max="23" width="9.28515625" bestFit="1" customWidth="1"/>
    <col min="24" max="24" width="12.7109375" customWidth="1"/>
    <col min="25" max="25" width="10.7109375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201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203" t="s">
        <v>6</v>
      </c>
      <c r="H4" s="203" t="s">
        <v>7</v>
      </c>
      <c r="I4" s="5" t="s">
        <v>101</v>
      </c>
      <c r="J4" s="203" t="s">
        <v>9</v>
      </c>
      <c r="K4" s="203" t="s">
        <v>10</v>
      </c>
      <c r="L4" s="203" t="s">
        <v>11</v>
      </c>
      <c r="M4" s="203" t="s">
        <v>12</v>
      </c>
      <c r="N4" s="203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0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213">
        <v>15</v>
      </c>
      <c r="G6" s="213">
        <v>15</v>
      </c>
      <c r="H6" s="213">
        <v>15</v>
      </c>
      <c r="I6" s="213"/>
      <c r="J6" s="19">
        <v>10</v>
      </c>
      <c r="K6" s="19"/>
      <c r="L6" s="19"/>
      <c r="M6" s="19"/>
      <c r="N6" s="19"/>
      <c r="O6" s="19"/>
      <c r="P6" s="19"/>
      <c r="Q6" s="213">
        <v>15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156067.05000000002</v>
      </c>
      <c r="T6" s="140">
        <f>S6*100/$S$31</f>
        <v>10.721674308302569</v>
      </c>
      <c r="U6" s="22"/>
      <c r="V6" s="22"/>
      <c r="W6" s="22"/>
      <c r="X6" s="23"/>
      <c r="Y6" s="20">
        <f>U6/100*$U$31+V6/100*$V$31+W6/100*$W$31+X6/100*$X$31+S6</f>
        <v>156067.05000000002</v>
      </c>
      <c r="Z6" s="25">
        <f t="shared" ref="Z6:Z29" si="0">Y6*100/$Y$31</f>
        <v>7.555984673750749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14">
        <v>55</v>
      </c>
      <c r="G7" s="214">
        <v>55</v>
      </c>
      <c r="H7" s="214">
        <v>55</v>
      </c>
      <c r="I7" s="214"/>
      <c r="J7" s="22">
        <v>49</v>
      </c>
      <c r="K7" s="22"/>
      <c r="L7" s="22"/>
      <c r="M7" s="22"/>
      <c r="N7" s="22"/>
      <c r="O7" s="22"/>
      <c r="P7" s="22"/>
      <c r="Q7" s="214">
        <v>55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718632.65</v>
      </c>
      <c r="T7" s="21">
        <f t="shared" ref="T7:T29" si="2">S7*100/$S$31</f>
        <v>49.369455119529661</v>
      </c>
      <c r="U7" s="22"/>
      <c r="V7" s="22"/>
      <c r="W7" s="22"/>
      <c r="X7" s="23"/>
      <c r="Y7" s="20">
        <f t="shared" ref="Y7:Y29" si="3">U7/100*$U$31+V7/100*$V$31+W7/100*$W$31+X7/100*$X$31+S7</f>
        <v>718632.65</v>
      </c>
      <c r="Z7" s="25">
        <f t="shared" si="0"/>
        <v>34.79259260335148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14">
        <v>20</v>
      </c>
      <c r="G8" s="214">
        <v>10</v>
      </c>
      <c r="H8" s="214">
        <v>20</v>
      </c>
      <c r="I8" s="214"/>
      <c r="J8" s="22">
        <v>19</v>
      </c>
      <c r="K8" s="22"/>
      <c r="L8" s="22"/>
      <c r="M8" s="22"/>
      <c r="N8" s="22"/>
      <c r="O8" s="22"/>
      <c r="P8" s="22"/>
      <c r="Q8" s="214">
        <v>20</v>
      </c>
      <c r="R8" s="22"/>
      <c r="S8" s="20">
        <f t="shared" si="1"/>
        <v>255844.3</v>
      </c>
      <c r="T8" s="21">
        <f t="shared" si="2"/>
        <v>17.576286975602184</v>
      </c>
      <c r="U8" s="22"/>
      <c r="V8" s="22"/>
      <c r="W8" s="22"/>
      <c r="X8" s="23">
        <v>100</v>
      </c>
      <c r="Y8" s="20">
        <f t="shared" si="3"/>
        <v>283118.3</v>
      </c>
      <c r="Z8" s="25">
        <f t="shared" si="0"/>
        <v>13.707169679047349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14"/>
      <c r="G9" s="214"/>
      <c r="H9" s="214"/>
      <c r="I9" s="214"/>
      <c r="J9" s="22">
        <v>8</v>
      </c>
      <c r="K9" s="22"/>
      <c r="L9" s="22"/>
      <c r="M9" s="22"/>
      <c r="N9" s="22"/>
      <c r="O9" s="22"/>
      <c r="P9" s="22"/>
      <c r="Q9" s="214"/>
      <c r="R9" s="22"/>
      <c r="S9" s="20">
        <f t="shared" si="1"/>
        <v>94953.600000000006</v>
      </c>
      <c r="T9" s="21">
        <f t="shared" si="2"/>
        <v>6.5232319929212395</v>
      </c>
      <c r="U9" s="22"/>
      <c r="V9" s="22"/>
      <c r="W9" s="22"/>
      <c r="X9" s="23"/>
      <c r="Y9" s="20">
        <f t="shared" si="3"/>
        <v>94953.600000000006</v>
      </c>
      <c r="Z9" s="25">
        <f t="shared" si="0"/>
        <v>4.5971775997397213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14"/>
      <c r="G10" s="214"/>
      <c r="H10" s="214"/>
      <c r="I10" s="214"/>
      <c r="J10" s="22">
        <v>7</v>
      </c>
      <c r="K10" s="22"/>
      <c r="L10" s="22"/>
      <c r="M10" s="22"/>
      <c r="N10" s="22"/>
      <c r="O10" s="22"/>
      <c r="P10" s="22"/>
      <c r="Q10" s="214"/>
      <c r="R10" s="22"/>
      <c r="S10" s="20">
        <f t="shared" si="1"/>
        <v>83084.400000000009</v>
      </c>
      <c r="T10" s="21">
        <f t="shared" si="2"/>
        <v>5.7078279938060845</v>
      </c>
      <c r="U10" s="22"/>
      <c r="V10" s="22"/>
      <c r="W10" s="22"/>
      <c r="X10" s="23"/>
      <c r="Y10" s="20">
        <f t="shared" si="3"/>
        <v>83084.400000000009</v>
      </c>
      <c r="Z10" s="25">
        <f t="shared" si="0"/>
        <v>4.0225303997722559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14"/>
      <c r="G11" s="214"/>
      <c r="H11" s="214"/>
      <c r="I11" s="214"/>
      <c r="J11" s="22"/>
      <c r="K11" s="22"/>
      <c r="L11" s="22"/>
      <c r="M11" s="22"/>
      <c r="N11" s="22"/>
      <c r="O11" s="22"/>
      <c r="P11" s="22"/>
      <c r="Q11" s="214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14"/>
      <c r="G12" s="214"/>
      <c r="H12" s="214"/>
      <c r="I12" s="214"/>
      <c r="J12" s="22"/>
      <c r="K12" s="22"/>
      <c r="L12" s="22"/>
      <c r="M12" s="22"/>
      <c r="N12" s="22"/>
      <c r="O12" s="22"/>
      <c r="P12" s="22"/>
      <c r="Q12" s="214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14"/>
      <c r="G13" s="214"/>
      <c r="H13" s="214"/>
      <c r="I13" s="214"/>
      <c r="J13" s="22"/>
      <c r="K13" s="22"/>
      <c r="L13" s="22"/>
      <c r="M13" s="22"/>
      <c r="N13" s="22"/>
      <c r="O13" s="22"/>
      <c r="P13" s="22"/>
      <c r="Q13" s="214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14"/>
      <c r="G14" s="214"/>
      <c r="H14" s="214"/>
      <c r="I14" s="214"/>
      <c r="J14" s="22"/>
      <c r="K14" s="22"/>
      <c r="L14" s="22"/>
      <c r="M14" s="22"/>
      <c r="N14" s="22"/>
      <c r="O14" s="22"/>
      <c r="P14" s="22"/>
      <c r="Q14" s="214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14"/>
      <c r="G15" s="214"/>
      <c r="H15" s="214"/>
      <c r="I15" s="214"/>
      <c r="J15" s="22"/>
      <c r="K15" s="22"/>
      <c r="L15" s="22"/>
      <c r="M15" s="22"/>
      <c r="N15" s="22"/>
      <c r="O15" s="22"/>
      <c r="P15" s="22"/>
      <c r="Q15" s="214"/>
      <c r="R15" s="22"/>
      <c r="S15" s="20">
        <f>C15/100*$C$31+D15/100*$D$31+E15/100*$E$31+F15/100*$F$31+G15/100*$G$31+H15/100*$H$31+I15/100*$I$31+J15/100*$J$31+K15/100*$K$31+L15/100*$L$31+M15/100*$M$31+N15/100*$N$31+O15/100*$O$31+P15/100*$P$31+Q15/100*$Q$31+R15/100*$R$31</f>
        <v>14517</v>
      </c>
      <c r="T15" s="21">
        <f t="shared" si="2"/>
        <v>0.99730561917860538</v>
      </c>
      <c r="U15" s="22"/>
      <c r="V15" s="33"/>
      <c r="W15" s="33"/>
      <c r="X15" s="23"/>
      <c r="Y15" s="20">
        <f t="shared" si="3"/>
        <v>14517</v>
      </c>
      <c r="Z15" s="25">
        <f t="shared" si="0"/>
        <v>0.70284041063657965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14"/>
      <c r="G16" s="214">
        <v>20</v>
      </c>
      <c r="H16" s="214"/>
      <c r="I16" s="214"/>
      <c r="J16" s="22"/>
      <c r="K16" s="22"/>
      <c r="L16" s="22"/>
      <c r="M16" s="22"/>
      <c r="N16" s="22"/>
      <c r="O16" s="22"/>
      <c r="P16" s="22"/>
      <c r="Q16" s="214"/>
      <c r="R16" s="22"/>
      <c r="S16" s="20">
        <f>C16/100*$C$31+D16/100*$D$31+E16/100*$E$31+F16/100*$F$31+G16/100*$G$31+H16/100*$H$31+I16/100*$I$31+J16/100*$J$31+K16/100*$K$31+L16/100*$L$31+M16/100*$M$31+N16/100*$N$31+O16/100*$O$31+P16/100*$P$31+Q16/100*$Q$31+R16/100*$R$31</f>
        <v>44025.8</v>
      </c>
      <c r="T16" s="21">
        <f t="shared" si="2"/>
        <v>3.0245352158733518</v>
      </c>
      <c r="U16" s="22"/>
      <c r="V16" s="33"/>
      <c r="W16" s="33"/>
      <c r="X16" s="23"/>
      <c r="Y16" s="20">
        <f t="shared" si="3"/>
        <v>44025.8</v>
      </c>
      <c r="Z16" s="25">
        <f t="shared" si="0"/>
        <v>2.1315086691881193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14">
        <v>10</v>
      </c>
      <c r="G17" s="214"/>
      <c r="H17" s="214">
        <v>10</v>
      </c>
      <c r="I17" s="214"/>
      <c r="J17" s="22">
        <v>7</v>
      </c>
      <c r="K17" s="22"/>
      <c r="L17" s="22"/>
      <c r="M17" s="22"/>
      <c r="N17" s="22"/>
      <c r="O17" s="22"/>
      <c r="P17" s="22"/>
      <c r="Q17" s="214">
        <v>10</v>
      </c>
      <c r="R17" s="22"/>
      <c r="S17" s="20">
        <f>C17/100*$C$31+D17/100*$D$31+E17/100*$E$31+F17/100*$F$31+G17/100*$G$31+H17/100*$H$31+I17/100*$I$31+J17/100*$J$31+K17/100*$K$31+L17/100*$L$31+M17/100*$M$31+N17/100*$N$31+O17/100*$O$31+P17/100*$P$31+Q17/100*$Q$31+R17/100*$R$31</f>
        <v>88497.200000000012</v>
      </c>
      <c r="T17" s="21">
        <f t="shared" si="2"/>
        <v>6.0796827747863125</v>
      </c>
      <c r="U17" s="33"/>
      <c r="V17" s="22">
        <v>100</v>
      </c>
      <c r="W17" s="22"/>
      <c r="X17" s="23"/>
      <c r="Y17" s="20">
        <f t="shared" si="3"/>
        <v>128894.20000000001</v>
      </c>
      <c r="Z17" s="25">
        <f t="shared" si="0"/>
        <v>6.2404114112194966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14"/>
      <c r="G18" s="214"/>
      <c r="H18" s="214"/>
      <c r="I18" s="214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2</v>
      </c>
      <c r="V18" s="22"/>
      <c r="W18" s="22"/>
      <c r="X18" s="23"/>
      <c r="Y18" s="20">
        <f t="shared" si="3"/>
        <v>10843.66</v>
      </c>
      <c r="Z18" s="25">
        <f t="shared" si="0"/>
        <v>0.52499569106588506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7</v>
      </c>
      <c r="V19" s="22"/>
      <c r="W19" s="22"/>
      <c r="X19" s="23"/>
      <c r="Y19" s="20">
        <f t="shared" si="3"/>
        <v>37952.810000000005</v>
      </c>
      <c r="Z19" s="25">
        <f t="shared" si="0"/>
        <v>1.8374849187305979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21</v>
      </c>
      <c r="V20" s="22"/>
      <c r="W20" s="22"/>
      <c r="X20" s="23"/>
      <c r="Y20" s="20">
        <f t="shared" si="3"/>
        <v>113858.43</v>
      </c>
      <c r="Z20" s="25">
        <f t="shared" si="0"/>
        <v>5.5124547561917927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15</v>
      </c>
      <c r="V22" s="22"/>
      <c r="W22" s="22"/>
      <c r="X22" s="23"/>
      <c r="Y22" s="20">
        <f t="shared" si="3"/>
        <v>81327.45</v>
      </c>
      <c r="Z22" s="25">
        <f t="shared" si="0"/>
        <v>3.937467682994138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/>
      <c r="V23" s="22"/>
      <c r="W23" s="22"/>
      <c r="X23" s="23"/>
      <c r="Y23" s="20">
        <f t="shared" si="3"/>
        <v>0</v>
      </c>
      <c r="Z23" s="25">
        <f>Y23*100/$Y$31</f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25</v>
      </c>
      <c r="V24" s="22"/>
      <c r="W24" s="22"/>
      <c r="X24" s="23"/>
      <c r="Y24" s="20">
        <f t="shared" si="3"/>
        <v>135545.75</v>
      </c>
      <c r="Z24" s="25">
        <f t="shared" si="0"/>
        <v>6.5624461383235628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9</v>
      </c>
      <c r="V25" s="22"/>
      <c r="W25" s="22"/>
      <c r="X25" s="23"/>
      <c r="Y25" s="20">
        <f t="shared" si="3"/>
        <v>48796.47</v>
      </c>
      <c r="Z25" s="25">
        <f t="shared" si="0"/>
        <v>2.3624806097964828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21</v>
      </c>
      <c r="V27" s="22"/>
      <c r="W27" s="22"/>
      <c r="X27" s="23"/>
      <c r="Y27" s="20">
        <f t="shared" si="3"/>
        <v>113858.43</v>
      </c>
      <c r="Z27" s="25">
        <f t="shared" si="0"/>
        <v>5.5124547561917927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/>
      <c r="V28" s="22"/>
      <c r="W28" s="22"/>
      <c r="X28" s="23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1455622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100</v>
      </c>
      <c r="Y30" s="39">
        <f>SUM(Y6:Y29)</f>
        <v>2065475.9999999998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14517</v>
      </c>
      <c r="D31" s="47">
        <v>0</v>
      </c>
      <c r="E31" s="47">
        <v>5018</v>
      </c>
      <c r="F31" s="47">
        <v>37980</v>
      </c>
      <c r="G31" s="47">
        <v>195039</v>
      </c>
      <c r="H31" s="47">
        <v>1385</v>
      </c>
      <c r="I31" s="47">
        <v>0</v>
      </c>
      <c r="J31" s="47">
        <v>1186920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14763</v>
      </c>
      <c r="R31" s="47">
        <v>0</v>
      </c>
      <c r="S31" s="48">
        <f>SUM(C31:R31)</f>
        <v>1455622</v>
      </c>
      <c r="T31" s="48">
        <f>S31*100/$S$31</f>
        <v>100</v>
      </c>
      <c r="U31" s="47">
        <v>542183</v>
      </c>
      <c r="V31" s="47">
        <v>40397</v>
      </c>
      <c r="W31" s="47">
        <v>0</v>
      </c>
      <c r="X31" s="47">
        <v>27274</v>
      </c>
      <c r="Y31" s="48">
        <f>+S31+U31+V31+W31+X31</f>
        <v>2065476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X34" s="79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  <c r="U35" s="73"/>
      <c r="X35" s="82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U36" s="215"/>
      <c r="X36" s="79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  <c r="U37" s="215"/>
      <c r="X37" s="79"/>
    </row>
    <row r="38" spans="1:25" x14ac:dyDescent="0.25">
      <c r="A38" t="s">
        <v>58</v>
      </c>
      <c r="G38" s="10"/>
      <c r="U38" s="215"/>
      <c r="X38" s="79"/>
    </row>
    <row r="39" spans="1:25" ht="18.75" x14ac:dyDescent="0.3">
      <c r="A39" s="60"/>
      <c r="B39" s="61"/>
      <c r="U39" s="215"/>
      <c r="V39" s="216"/>
    </row>
    <row r="40" spans="1:25" ht="18.75" x14ac:dyDescent="0.3">
      <c r="A40" s="60"/>
      <c r="B40" s="61"/>
      <c r="U40" s="215"/>
      <c r="V40" s="216"/>
      <c r="X40" s="217"/>
    </row>
    <row r="42" spans="1:25" x14ac:dyDescent="0.25">
      <c r="A42" s="10"/>
      <c r="C42">
        <v>14517</v>
      </c>
      <c r="D42">
        <v>0</v>
      </c>
      <c r="E42">
        <v>5018</v>
      </c>
      <c r="F42">
        <v>37980</v>
      </c>
      <c r="G42">
        <v>195039</v>
      </c>
      <c r="H42">
        <v>1385</v>
      </c>
      <c r="I42">
        <v>0</v>
      </c>
      <c r="J42">
        <v>1186920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14763</v>
      </c>
      <c r="R42">
        <v>0</v>
      </c>
      <c r="U42">
        <v>542183</v>
      </c>
      <c r="V42">
        <v>40397</v>
      </c>
      <c r="W42">
        <v>0</v>
      </c>
      <c r="X42">
        <v>27274</v>
      </c>
      <c r="Y42">
        <f>SUM(C42:X42)</f>
        <v>2065476</v>
      </c>
    </row>
    <row r="43" spans="1:25" x14ac:dyDescent="0.25">
      <c r="A43" s="62"/>
    </row>
    <row r="44" spans="1:25" ht="18.75" x14ac:dyDescent="0.3">
      <c r="A44" s="60"/>
    </row>
    <row r="45" spans="1:25" ht="18.75" x14ac:dyDescent="0.3">
      <c r="A45" s="60"/>
    </row>
  </sheetData>
  <mergeCells count="3">
    <mergeCell ref="A1:Z2"/>
    <mergeCell ref="S4:T4"/>
    <mergeCell ref="Y4:Z4"/>
  </mergeCells>
  <pageMargins left="0.24" right="0.22" top="0.74803149606299213" bottom="0.74803149606299213" header="0.31496062992125984" footer="0.31496062992125984"/>
  <pageSetup paperSize="9" scale="5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C45"/>
  <sheetViews>
    <sheetView zoomScale="90" zoomScaleNormal="90" workbookViewId="0">
      <selection activeCell="U30" sqref="U30"/>
    </sheetView>
  </sheetViews>
  <sheetFormatPr defaultRowHeight="15" x14ac:dyDescent="0.25"/>
  <cols>
    <col min="1" max="1" width="34.5703125" customWidth="1"/>
    <col min="2" max="2" width="7.28515625" customWidth="1"/>
    <col min="3" max="3" width="8.28515625" customWidth="1"/>
    <col min="4" max="4" width="12.5703125" customWidth="1"/>
    <col min="5" max="5" width="13.140625" customWidth="1"/>
    <col min="6" max="6" width="9.42578125" customWidth="1"/>
    <col min="7" max="7" width="8.85546875" customWidth="1"/>
    <col min="8" max="8" width="8.28515625" bestFit="1" customWidth="1"/>
    <col min="9" max="9" width="11.42578125" customWidth="1"/>
    <col min="10" max="10" width="9" bestFit="1" customWidth="1"/>
    <col min="11" max="11" width="7.28515625" customWidth="1"/>
    <col min="12" max="12" width="6.140625" customWidth="1"/>
    <col min="13" max="13" width="6.85546875" customWidth="1"/>
    <col min="14" max="14" width="7.85546875" bestFit="1" customWidth="1"/>
    <col min="15" max="15" width="9.5703125" customWidth="1"/>
    <col min="16" max="16" width="7" bestFit="1" customWidth="1"/>
    <col min="17" max="17" width="7.28515625" bestFit="1" customWidth="1"/>
    <col min="18" max="18" width="6.42578125" bestFit="1" customWidth="1"/>
    <col min="19" max="19" width="9" customWidth="1"/>
    <col min="20" max="20" width="7.42578125" customWidth="1"/>
    <col min="21" max="21" width="10.140625" customWidth="1"/>
    <col min="22" max="22" width="10.42578125" customWidth="1"/>
    <col min="23" max="23" width="9.42578125" customWidth="1"/>
    <col min="24" max="24" width="13.28515625" customWidth="1"/>
    <col min="25" max="25" width="9.570312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231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233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34" t="s">
        <v>15</v>
      </c>
      <c r="Q4" s="234" t="s">
        <v>16</v>
      </c>
      <c r="R4" s="234" t="s">
        <v>17</v>
      </c>
      <c r="S4" s="327" t="s">
        <v>18</v>
      </c>
      <c r="T4" s="328"/>
      <c r="U4" s="233" t="s">
        <v>19</v>
      </c>
      <c r="V4" s="234" t="s">
        <v>20</v>
      </c>
      <c r="W4" s="7" t="s">
        <v>21</v>
      </c>
      <c r="X4" s="7" t="s">
        <v>22</v>
      </c>
      <c r="Y4" s="329" t="s">
        <v>23</v>
      </c>
      <c r="Z4" s="330"/>
      <c r="AA4" s="230"/>
      <c r="AB4" s="230"/>
      <c r="AC4" s="230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31" t="s">
        <v>25</v>
      </c>
      <c r="U5" s="231" t="s">
        <v>25</v>
      </c>
      <c r="V5" s="231" t="s">
        <v>25</v>
      </c>
      <c r="W5" s="231" t="s">
        <v>25</v>
      </c>
      <c r="X5" s="23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5</v>
      </c>
      <c r="D6" s="19"/>
      <c r="E6" s="19"/>
      <c r="F6" s="19">
        <v>25</v>
      </c>
      <c r="G6" s="19"/>
      <c r="H6" s="19"/>
      <c r="I6" s="19"/>
      <c r="J6" s="19">
        <v>15</v>
      </c>
      <c r="K6" s="19"/>
      <c r="L6" s="19"/>
      <c r="M6" s="19"/>
      <c r="N6" s="19"/>
      <c r="O6" s="19"/>
      <c r="P6" s="19"/>
      <c r="Q6" s="19">
        <v>15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6375.4499999999989</v>
      </c>
      <c r="T6" s="21">
        <f>S6*100/$S$31</f>
        <v>14.076637742597864</v>
      </c>
      <c r="U6" s="22"/>
      <c r="V6" s="22"/>
      <c r="W6" s="22"/>
      <c r="X6" s="23"/>
      <c r="Y6" s="20">
        <f>U6/100*$U$31+V6/100*$V$31+W6/100*$W$31+X6/100*$X$31+S6</f>
        <v>6375.4499999999989</v>
      </c>
      <c r="Z6" s="25">
        <f t="shared" ref="Z6:Z29" si="0">Y6*100/$Y$31</f>
        <v>6.6192364795415131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>
        <v>30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9214.7999999999993</v>
      </c>
      <c r="T8" s="21">
        <f>S8*100/$S$31</f>
        <v>20.345764059084583</v>
      </c>
      <c r="U8" s="22"/>
      <c r="V8" s="22"/>
      <c r="W8" s="22"/>
      <c r="X8" s="23"/>
      <c r="Y8" s="20">
        <f t="shared" si="2"/>
        <v>9214.7999999999993</v>
      </c>
      <c r="Z8" s="25">
        <f t="shared" si="0"/>
        <v>9.5671584455495911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>
        <v>15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836.85</v>
      </c>
      <c r="T13" s="21">
        <f t="shared" si="3"/>
        <v>1.8477180896866927</v>
      </c>
      <c r="U13" s="22"/>
      <c r="V13" s="22"/>
      <c r="W13" s="22"/>
      <c r="X13" s="23"/>
      <c r="Y13" s="20">
        <f t="shared" si="2"/>
        <v>836.85</v>
      </c>
      <c r="Z13" s="25">
        <f t="shared" si="0"/>
        <v>0.86884973576834823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>
        <v>25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7679</v>
      </c>
      <c r="T14" s="21">
        <f t="shared" si="3"/>
        <v>16.954803382570489</v>
      </c>
      <c r="U14" s="22"/>
      <c r="V14" s="22"/>
      <c r="W14" s="22"/>
      <c r="X14" s="23"/>
      <c r="Y14" s="20">
        <f t="shared" si="2"/>
        <v>7679</v>
      </c>
      <c r="Z14" s="25">
        <f t="shared" si="0"/>
        <v>7.9726320379579931</v>
      </c>
    </row>
    <row r="15" spans="1:29" x14ac:dyDescent="0.25">
      <c r="A15" s="28" t="s">
        <v>35</v>
      </c>
      <c r="B15" s="18" t="s">
        <v>25</v>
      </c>
      <c r="C15" s="22">
        <v>15</v>
      </c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1074.45</v>
      </c>
      <c r="T15" s="21">
        <f t="shared" si="3"/>
        <v>2.3723256276081339</v>
      </c>
      <c r="U15" s="22"/>
      <c r="V15" s="33"/>
      <c r="W15" s="33"/>
      <c r="X15" s="23"/>
      <c r="Y15" s="20">
        <f t="shared" si="2"/>
        <v>1074.45</v>
      </c>
      <c r="Z15" s="25">
        <f t="shared" si="0"/>
        <v>1.1155351599406127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1732</v>
      </c>
      <c r="T16" s="21">
        <f t="shared" si="3"/>
        <v>3.8241593252522574</v>
      </c>
      <c r="U16" s="22"/>
      <c r="V16" s="33"/>
      <c r="W16" s="33"/>
      <c r="X16" s="23"/>
      <c r="Y16" s="20">
        <f t="shared" si="2"/>
        <v>1732</v>
      </c>
      <c r="Z16" s="25">
        <f t="shared" si="0"/>
        <v>1.7982287654308169</v>
      </c>
    </row>
    <row r="17" spans="1:27" x14ac:dyDescent="0.25">
      <c r="A17" s="43" t="s">
        <v>37</v>
      </c>
      <c r="B17" s="30" t="s">
        <v>25</v>
      </c>
      <c r="C17" s="22">
        <v>80</v>
      </c>
      <c r="D17" s="22"/>
      <c r="E17" s="22"/>
      <c r="F17" s="22">
        <v>60</v>
      </c>
      <c r="G17" s="22"/>
      <c r="H17" s="22"/>
      <c r="I17" s="22"/>
      <c r="J17" s="22">
        <v>30</v>
      </c>
      <c r="K17" s="22"/>
      <c r="L17" s="22"/>
      <c r="M17" s="22"/>
      <c r="N17" s="22"/>
      <c r="O17" s="22"/>
      <c r="P17" s="22"/>
      <c r="Q17" s="22">
        <v>85</v>
      </c>
      <c r="R17" s="22"/>
      <c r="S17" s="20">
        <f t="shared" si="1"/>
        <v>18378.449999999997</v>
      </c>
      <c r="T17" s="21">
        <f t="shared" si="3"/>
        <v>40.578591773199967</v>
      </c>
      <c r="U17" s="33">
        <v>1</v>
      </c>
      <c r="V17" s="22">
        <v>100</v>
      </c>
      <c r="W17" s="22"/>
      <c r="X17" s="23">
        <v>100</v>
      </c>
      <c r="Y17" s="20">
        <f t="shared" si="2"/>
        <v>39240.14</v>
      </c>
      <c r="Z17" s="25">
        <f t="shared" si="0"/>
        <v>40.740616921208094</v>
      </c>
    </row>
    <row r="18" spans="1:27" x14ac:dyDescent="0.25">
      <c r="A18" s="35" t="s">
        <v>38</v>
      </c>
      <c r="B18" s="235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15</v>
      </c>
      <c r="V18" s="22"/>
      <c r="W18" s="22"/>
      <c r="X18" s="23"/>
      <c r="Y18" s="20">
        <f t="shared" si="2"/>
        <v>4570.3499999999995</v>
      </c>
      <c r="Z18" s="25">
        <f t="shared" si="0"/>
        <v>4.7451124931216704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29</v>
      </c>
      <c r="V19" s="22"/>
      <c r="W19" s="22"/>
      <c r="X19" s="23"/>
      <c r="Y19" s="20">
        <f t="shared" si="2"/>
        <v>8836.01</v>
      </c>
      <c r="Z19" s="25">
        <f t="shared" si="0"/>
        <v>9.1738841533685651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5</v>
      </c>
      <c r="V20" s="22"/>
      <c r="W20" s="22"/>
      <c r="X20" s="23"/>
      <c r="Y20" s="20">
        <f t="shared" si="2"/>
        <v>1523.45</v>
      </c>
      <c r="Z20" s="25">
        <f t="shared" si="0"/>
        <v>1.5817041643738903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13</v>
      </c>
      <c r="V23" s="22"/>
      <c r="W23" s="22"/>
      <c r="X23" s="23"/>
      <c r="Y23" s="20">
        <f t="shared" si="2"/>
        <v>3960.9700000000003</v>
      </c>
      <c r="Z23" s="25">
        <f t="shared" si="0"/>
        <v>4.1124308273721146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12</v>
      </c>
      <c r="V24" s="22"/>
      <c r="W24" s="22"/>
      <c r="X24" s="23"/>
      <c r="Y24" s="20">
        <f t="shared" si="2"/>
        <v>3656.2799999999997</v>
      </c>
      <c r="Z24" s="25">
        <f t="shared" si="0"/>
        <v>3.7960899944973368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12</v>
      </c>
      <c r="V25" s="22"/>
      <c r="W25" s="22"/>
      <c r="X25" s="23"/>
      <c r="Y25" s="20">
        <f t="shared" si="2"/>
        <v>3656.2799999999997</v>
      </c>
      <c r="Z25" s="25">
        <f t="shared" si="0"/>
        <v>3.7960899944973368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10</v>
      </c>
      <c r="V27" s="22"/>
      <c r="W27" s="22"/>
      <c r="X27" s="23"/>
      <c r="Y27" s="20">
        <f t="shared" si="2"/>
        <v>3046.9</v>
      </c>
      <c r="Z27" s="25">
        <f t="shared" si="0"/>
        <v>3.1634083287477806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1</v>
      </c>
      <c r="V28" s="22"/>
      <c r="W28" s="22"/>
      <c r="X28" s="23"/>
      <c r="Y28" s="20">
        <f t="shared" si="2"/>
        <v>304.69</v>
      </c>
      <c r="Z28" s="25">
        <f t="shared" si="0"/>
        <v>0.3163408328747781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2</v>
      </c>
      <c r="V29" s="38"/>
      <c r="W29" s="38"/>
      <c r="X29" s="41"/>
      <c r="Y29" s="39">
        <f t="shared" si="2"/>
        <v>609.38</v>
      </c>
      <c r="Z29" s="42">
        <f t="shared" si="0"/>
        <v>0.6326816657495562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45291</v>
      </c>
      <c r="T30" s="20">
        <f>+SUM(T6:T29)</f>
        <v>100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96317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7163</v>
      </c>
      <c r="D31" s="47">
        <v>0</v>
      </c>
      <c r="E31" s="47">
        <v>683</v>
      </c>
      <c r="F31" s="47">
        <v>5579</v>
      </c>
      <c r="G31" s="47">
        <v>1049</v>
      </c>
      <c r="H31" s="47">
        <v>0</v>
      </c>
      <c r="I31" s="47">
        <v>0</v>
      </c>
      <c r="J31" s="47">
        <v>30716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101</v>
      </c>
      <c r="R31" s="47">
        <v>0</v>
      </c>
      <c r="S31" s="48">
        <f>SUM(C31:R31)</f>
        <v>45291</v>
      </c>
      <c r="T31" s="48">
        <f>S31*100/$S$31</f>
        <v>100</v>
      </c>
      <c r="U31" s="47">
        <v>30469</v>
      </c>
      <c r="V31" s="47">
        <v>11524</v>
      </c>
      <c r="W31" s="47">
        <v>0</v>
      </c>
      <c r="X31" s="47">
        <v>9033</v>
      </c>
      <c r="Y31" s="48">
        <f>+S31+U31+V31+W31+X31</f>
        <v>96317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  <c r="X39" s="8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232</v>
      </c>
      <c r="C43" s="63">
        <v>96317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  <c r="C45">
        <v>7163</v>
      </c>
      <c r="D45">
        <v>0</v>
      </c>
      <c r="E45">
        <v>683</v>
      </c>
      <c r="F45">
        <v>5579</v>
      </c>
      <c r="G45">
        <v>1049</v>
      </c>
      <c r="H45">
        <v>0</v>
      </c>
      <c r="I45">
        <v>0</v>
      </c>
      <c r="J45">
        <v>30716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101</v>
      </c>
      <c r="R45">
        <v>0</v>
      </c>
      <c r="U45">
        <v>30469</v>
      </c>
      <c r="V45">
        <v>11524</v>
      </c>
      <c r="W45">
        <v>0</v>
      </c>
      <c r="X45">
        <v>9033</v>
      </c>
      <c r="Y45">
        <f t="shared" ref="Y45" si="7">SUM(C45:X45)</f>
        <v>96317</v>
      </c>
    </row>
  </sheetData>
  <mergeCells count="3">
    <mergeCell ref="A1:Z2"/>
    <mergeCell ref="S4:T4"/>
    <mergeCell ref="Y4:Z4"/>
  </mergeCells>
  <pageMargins left="0.31" right="0.2" top="0.74803149606299213" bottom="0.74803149606299213" header="0.31496062992125984" footer="0.31496062992125984"/>
  <pageSetup paperSize="9"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5.7109375" customWidth="1"/>
    <col min="2" max="2" width="7.28515625" customWidth="1"/>
    <col min="3" max="3" width="9.42578125" customWidth="1"/>
    <col min="4" max="5" width="12.7109375" customWidth="1"/>
    <col min="6" max="6" width="8" bestFit="1" customWidth="1"/>
    <col min="7" max="7" width="8.140625" bestFit="1" customWidth="1"/>
    <col min="8" max="8" width="8.28515625" bestFit="1" customWidth="1"/>
    <col min="9" max="10" width="10.140625" customWidth="1"/>
    <col min="11" max="11" width="4.85546875" bestFit="1" customWidth="1"/>
    <col min="12" max="12" width="5.28515625" bestFit="1" customWidth="1"/>
    <col min="13" max="13" width="6" bestFit="1" customWidth="1"/>
    <col min="14" max="14" width="8.42578125" customWidth="1"/>
    <col min="15" max="15" width="8.85546875" customWidth="1"/>
    <col min="16" max="16" width="7" bestFit="1" customWidth="1"/>
    <col min="17" max="17" width="7.28515625" bestFit="1" customWidth="1"/>
    <col min="18" max="18" width="7.42578125" customWidth="1"/>
    <col min="19" max="19" width="9.5703125" customWidth="1"/>
    <col min="20" max="20" width="6.85546875" customWidth="1"/>
    <col min="21" max="21" width="11.140625" customWidth="1"/>
    <col min="22" max="22" width="11.42578125" customWidth="1"/>
    <col min="23" max="23" width="9.28515625" bestFit="1" customWidth="1"/>
    <col min="24" max="24" width="12.85546875" customWidth="1"/>
    <col min="25" max="25" width="10.85546875" customWidth="1"/>
    <col min="26" max="26" width="7.42578125" customWidth="1"/>
    <col min="27" max="27" width="1.85546875" customWidth="1"/>
  </cols>
  <sheetData>
    <row r="1" spans="1:29" ht="15" customHeight="1" x14ac:dyDescent="0.25">
      <c r="A1" s="325" t="s">
        <v>160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184" t="s">
        <v>2</v>
      </c>
      <c r="D4" s="5" t="s">
        <v>3</v>
      </c>
      <c r="E4" s="5" t="s">
        <v>4</v>
      </c>
      <c r="F4" s="5" t="s">
        <v>102</v>
      </c>
      <c r="G4" s="185" t="s">
        <v>6</v>
      </c>
      <c r="H4" s="185" t="s">
        <v>7</v>
      </c>
      <c r="I4" s="5" t="s">
        <v>164</v>
      </c>
      <c r="J4" s="5" t="s">
        <v>9</v>
      </c>
      <c r="K4" s="185" t="s">
        <v>10</v>
      </c>
      <c r="L4" s="185" t="s">
        <v>11</v>
      </c>
      <c r="M4" s="185" t="s">
        <v>12</v>
      </c>
      <c r="N4" s="5" t="s">
        <v>13</v>
      </c>
      <c r="O4" s="5" t="s">
        <v>14</v>
      </c>
      <c r="P4" s="185" t="s">
        <v>15</v>
      </c>
      <c r="Q4" s="185" t="s">
        <v>16</v>
      </c>
      <c r="R4" s="185" t="s">
        <v>17</v>
      </c>
      <c r="S4" s="327" t="s">
        <v>18</v>
      </c>
      <c r="T4" s="328"/>
      <c r="U4" s="184" t="s">
        <v>19</v>
      </c>
      <c r="V4" s="185" t="s">
        <v>20</v>
      </c>
      <c r="W4" s="7" t="s">
        <v>21</v>
      </c>
      <c r="X4" s="7" t="s">
        <v>22</v>
      </c>
      <c r="Y4" s="329" t="s">
        <v>23</v>
      </c>
      <c r="Z4" s="330"/>
      <c r="AA4" s="181"/>
      <c r="AB4" s="181"/>
      <c r="AC4" s="181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2" t="s">
        <v>25</v>
      </c>
      <c r="U5" s="182" t="s">
        <v>25</v>
      </c>
      <c r="V5" s="182" t="s">
        <v>25</v>
      </c>
      <c r="W5" s="182" t="s">
        <v>25</v>
      </c>
      <c r="X5" s="182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15</v>
      </c>
      <c r="D6" s="19"/>
      <c r="E6" s="19"/>
      <c r="F6" s="19">
        <v>15</v>
      </c>
      <c r="G6" s="19"/>
      <c r="H6" s="19">
        <v>15</v>
      </c>
      <c r="I6" s="19"/>
      <c r="J6" s="19">
        <v>18</v>
      </c>
      <c r="K6" s="19"/>
      <c r="L6" s="19"/>
      <c r="M6" s="19"/>
      <c r="N6" s="19">
        <v>25</v>
      </c>
      <c r="O6" s="19">
        <v>20</v>
      </c>
      <c r="P6" s="19"/>
      <c r="Q6" s="19">
        <v>20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54201.819999999992</v>
      </c>
      <c r="T6" s="21">
        <f>S6*100/$S$31</f>
        <v>14.855796718130312</v>
      </c>
      <c r="U6" s="22"/>
      <c r="V6" s="22"/>
      <c r="W6" s="22"/>
      <c r="X6" s="23"/>
      <c r="Y6" s="20">
        <f>U6/100*$U$31+V6/100*$V$31+W6/100*$W$31+X6/100*$X$31+S6</f>
        <v>54201.819999999992</v>
      </c>
      <c r="Z6" s="25">
        <f t="shared" ref="Z6:Z29" si="0">Y6*100/$Y$31</f>
        <v>6.7577755446559253</v>
      </c>
    </row>
    <row r="7" spans="1:29" x14ac:dyDescent="0.25">
      <c r="A7" s="26" t="s">
        <v>27</v>
      </c>
      <c r="B7" s="18" t="s">
        <v>25</v>
      </c>
      <c r="C7" s="22">
        <v>75</v>
      </c>
      <c r="D7" s="22"/>
      <c r="E7" s="22"/>
      <c r="F7" s="22">
        <v>55</v>
      </c>
      <c r="G7" s="22"/>
      <c r="H7" s="22">
        <v>65</v>
      </c>
      <c r="I7" s="22"/>
      <c r="J7" s="22">
        <v>60</v>
      </c>
      <c r="K7" s="22"/>
      <c r="L7" s="22"/>
      <c r="M7" s="22"/>
      <c r="N7" s="22"/>
      <c r="O7" s="22">
        <v>60</v>
      </c>
      <c r="P7" s="22"/>
      <c r="Q7" s="22">
        <v>80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181955.65</v>
      </c>
      <c r="T7" s="21">
        <f>S7*100/$S$31</f>
        <v>49.870948025643202</v>
      </c>
      <c r="U7" s="22"/>
      <c r="V7" s="22"/>
      <c r="W7" s="22"/>
      <c r="X7" s="23"/>
      <c r="Y7" s="20">
        <f t="shared" ref="Y7:Y29" si="2">U7/100*$U$31+V7/100*$V$31+W7/100*$W$31+X7/100*$X$31+S7</f>
        <v>181955.65</v>
      </c>
      <c r="Z7" s="25">
        <f t="shared" si="0"/>
        <v>22.685869990748891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20</v>
      </c>
      <c r="G8" s="22"/>
      <c r="H8" s="22">
        <v>20</v>
      </c>
      <c r="I8" s="22"/>
      <c r="J8" s="22">
        <v>17</v>
      </c>
      <c r="K8" s="22"/>
      <c r="L8" s="22"/>
      <c r="M8" s="22"/>
      <c r="N8" s="22"/>
      <c r="O8" s="22">
        <v>20</v>
      </c>
      <c r="P8" s="22"/>
      <c r="Q8" s="22"/>
      <c r="R8" s="22"/>
      <c r="S8" s="20">
        <f t="shared" si="1"/>
        <v>50386.83</v>
      </c>
      <c r="T8" s="21">
        <f>S8*100/$S$31</f>
        <v>13.810172864139805</v>
      </c>
      <c r="U8" s="22">
        <v>12</v>
      </c>
      <c r="V8" s="22"/>
      <c r="W8" s="22"/>
      <c r="X8" s="23"/>
      <c r="Y8" s="20">
        <f t="shared" si="2"/>
        <v>95275.23000000001</v>
      </c>
      <c r="Z8" s="25">
        <f t="shared" si="0"/>
        <v>11.878726937683435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>
        <v>1</v>
      </c>
      <c r="V13" s="22"/>
      <c r="W13" s="22"/>
      <c r="X13" s="23"/>
      <c r="Y13" s="20">
        <f t="shared" si="2"/>
        <v>3740.7000000000003</v>
      </c>
      <c r="Z13" s="25">
        <f t="shared" si="0"/>
        <v>0.46638306573274518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5</v>
      </c>
      <c r="D15" s="22">
        <v>100</v>
      </c>
      <c r="E15" s="22">
        <v>100</v>
      </c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39960.15</v>
      </c>
      <c r="T15" s="21">
        <f t="shared" si="3"/>
        <v>10.952397266844455</v>
      </c>
      <c r="U15" s="22"/>
      <c r="V15" s="33"/>
      <c r="W15" s="33"/>
      <c r="X15" s="23"/>
      <c r="Y15" s="20">
        <f t="shared" si="2"/>
        <v>39960.15</v>
      </c>
      <c r="Z15" s="25">
        <f t="shared" si="0"/>
        <v>4.9821523415778755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24489.5</v>
      </c>
      <c r="T16" s="21">
        <f t="shared" si="3"/>
        <v>6.712155306383667</v>
      </c>
      <c r="U16" s="22"/>
      <c r="V16" s="33"/>
      <c r="W16" s="33"/>
      <c r="X16" s="23"/>
      <c r="Y16" s="20">
        <f t="shared" si="2"/>
        <v>24489.5</v>
      </c>
      <c r="Z16" s="25">
        <f t="shared" si="0"/>
        <v>3.0533023466896738</v>
      </c>
    </row>
    <row r="17" spans="1:27" x14ac:dyDescent="0.25">
      <c r="A17" s="34" t="s">
        <v>37</v>
      </c>
      <c r="B17" s="14" t="s">
        <v>25</v>
      </c>
      <c r="C17" s="22">
        <v>5</v>
      </c>
      <c r="D17" s="22"/>
      <c r="E17" s="22"/>
      <c r="F17" s="22">
        <v>10</v>
      </c>
      <c r="G17" s="22"/>
      <c r="H17" s="22"/>
      <c r="I17" s="22"/>
      <c r="J17" s="22">
        <v>5</v>
      </c>
      <c r="K17" s="22"/>
      <c r="L17" s="22"/>
      <c r="M17" s="22"/>
      <c r="N17" s="22">
        <v>75</v>
      </c>
      <c r="O17" s="22"/>
      <c r="P17" s="22"/>
      <c r="Q17" s="22"/>
      <c r="R17" s="22"/>
      <c r="S17" s="20">
        <f t="shared" si="1"/>
        <v>13859.050000000001</v>
      </c>
      <c r="T17" s="21">
        <f t="shared" si="3"/>
        <v>3.7985298188585541</v>
      </c>
      <c r="U17" s="33"/>
      <c r="V17" s="22">
        <v>100</v>
      </c>
      <c r="W17" s="22"/>
      <c r="X17" s="23">
        <v>100</v>
      </c>
      <c r="Y17" s="20">
        <f t="shared" si="2"/>
        <v>77002.05</v>
      </c>
      <c r="Z17" s="25">
        <f t="shared" si="0"/>
        <v>9.6004630541626241</v>
      </c>
    </row>
    <row r="18" spans="1:27" x14ac:dyDescent="0.25">
      <c r="A18" s="35" t="s">
        <v>38</v>
      </c>
      <c r="B18" s="18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>C18/100*$C$31+D18/100*$D$31+E18/100*$E$31+F18/100*$F$31+G18/100*$G$31+H18/100*$H$31+I18/100*$I$31+J18/100*$J$31+K18/100*$K$31+L18/100*$L$31+M18/100*$M$31+N18/100*$N$31+O18/100*$O$31+P18/100*$P$31+Q18/100*$Q$31+R18/100*$R$31</f>
        <v>0</v>
      </c>
      <c r="T18" s="21">
        <f>S18*100/$S$31</f>
        <v>0</v>
      </c>
      <c r="U18" s="33">
        <v>1</v>
      </c>
      <c r="V18" s="22"/>
      <c r="W18" s="22"/>
      <c r="X18" s="23"/>
      <c r="Y18" s="20">
        <f t="shared" si="2"/>
        <v>3740.7000000000003</v>
      </c>
      <c r="Z18" s="25">
        <f t="shared" si="0"/>
        <v>0.46638306573274518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12</v>
      </c>
      <c r="V19" s="22"/>
      <c r="W19" s="22"/>
      <c r="X19" s="23"/>
      <c r="Y19" s="20">
        <f t="shared" si="2"/>
        <v>44888.4</v>
      </c>
      <c r="Z19" s="25">
        <f t="shared" si="0"/>
        <v>5.596596788792942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7</v>
      </c>
      <c r="V20" s="22"/>
      <c r="W20" s="22"/>
      <c r="X20" s="23"/>
      <c r="Y20" s="20">
        <f t="shared" si="2"/>
        <v>26184.9</v>
      </c>
      <c r="Z20" s="25">
        <f t="shared" si="0"/>
        <v>3.2646814601292165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3</v>
      </c>
      <c r="V23" s="22"/>
      <c r="W23" s="22"/>
      <c r="X23" s="23"/>
      <c r="Y23" s="20">
        <f t="shared" si="2"/>
        <v>11222.1</v>
      </c>
      <c r="Z23" s="25">
        <f t="shared" si="0"/>
        <v>1.3991491971982355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14</v>
      </c>
      <c r="V24" s="22"/>
      <c r="W24" s="22"/>
      <c r="X24" s="23"/>
      <c r="Y24" s="20">
        <f t="shared" si="2"/>
        <v>52369.8</v>
      </c>
      <c r="Z24" s="25">
        <f t="shared" si="0"/>
        <v>6.5293629202584329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10</v>
      </c>
      <c r="V25" s="22"/>
      <c r="W25" s="22"/>
      <c r="X25" s="23"/>
      <c r="Y25" s="20">
        <f t="shared" si="2"/>
        <v>37407</v>
      </c>
      <c r="Z25" s="25">
        <f t="shared" si="0"/>
        <v>4.6638306573274519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33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40</v>
      </c>
      <c r="V27" s="22"/>
      <c r="W27" s="22"/>
      <c r="X27" s="23"/>
      <c r="Y27" s="20">
        <f t="shared" si="2"/>
        <v>149628</v>
      </c>
      <c r="Z27" s="25">
        <f t="shared" si="0"/>
        <v>18.655322629309808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/>
      <c r="V28" s="22"/>
      <c r="W28" s="22"/>
      <c r="X28" s="23"/>
      <c r="Y28" s="20">
        <f t="shared" si="2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364853</v>
      </c>
      <c r="T30" s="20">
        <f>+SUM(T6:T29)</f>
        <v>99.999999999999986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802066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4953</v>
      </c>
      <c r="D31" s="47">
        <v>40</v>
      </c>
      <c r="E31" s="47">
        <v>15183</v>
      </c>
      <c r="F31" s="47">
        <v>4092</v>
      </c>
      <c r="G31" s="47">
        <v>48979</v>
      </c>
      <c r="H31" s="47">
        <v>3954</v>
      </c>
      <c r="I31" s="47">
        <v>0</v>
      </c>
      <c r="J31" s="47">
        <v>263939</v>
      </c>
      <c r="K31" s="47">
        <v>0</v>
      </c>
      <c r="L31" s="47">
        <v>0</v>
      </c>
      <c r="M31" s="47">
        <v>0</v>
      </c>
      <c r="N31" s="47">
        <v>7</v>
      </c>
      <c r="O31" s="47">
        <v>19540</v>
      </c>
      <c r="P31" s="47">
        <v>0</v>
      </c>
      <c r="Q31" s="47">
        <v>4166</v>
      </c>
      <c r="R31" s="47">
        <v>0</v>
      </c>
      <c r="S31" s="48">
        <f>SUM(C31:R31)</f>
        <v>364853</v>
      </c>
      <c r="T31" s="48">
        <f>S31*100/$S$31</f>
        <v>100</v>
      </c>
      <c r="U31" s="47">
        <v>374070</v>
      </c>
      <c r="V31" s="47">
        <v>46858</v>
      </c>
      <c r="W31" s="47">
        <v>0</v>
      </c>
      <c r="X31" s="47">
        <v>16285</v>
      </c>
      <c r="Y31" s="48">
        <f>+S31+U31+V31+W31+X31</f>
        <v>802066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 t="s">
        <v>161</v>
      </c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5" x14ac:dyDescent="0.25">
      <c r="A37" s="11" t="s">
        <v>57</v>
      </c>
      <c r="B37" s="38" t="s">
        <v>162</v>
      </c>
      <c r="C37" s="38"/>
      <c r="D37" s="38"/>
      <c r="E37" s="38"/>
      <c r="F37" s="41"/>
      <c r="G37" s="10"/>
    </row>
    <row r="38" spans="1:25" x14ac:dyDescent="0.25">
      <c r="A38" t="s">
        <v>58</v>
      </c>
      <c r="G38" s="10"/>
      <c r="X38" s="81"/>
    </row>
    <row r="39" spans="1:25" ht="18.75" x14ac:dyDescent="0.3">
      <c r="A39" s="60"/>
      <c r="B39" s="61"/>
      <c r="G39" s="10"/>
      <c r="X39" s="81"/>
    </row>
    <row r="40" spans="1:25" ht="18.75" x14ac:dyDescent="0.3">
      <c r="A40" s="60"/>
      <c r="B40" s="61"/>
      <c r="G40" s="10"/>
      <c r="X40" s="81"/>
    </row>
    <row r="41" spans="1:25" ht="18.75" x14ac:dyDescent="0.3">
      <c r="B41" s="61"/>
      <c r="G41" s="10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163</v>
      </c>
      <c r="B43" s="62"/>
      <c r="C43" s="63">
        <v>802068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4953</v>
      </c>
      <c r="D45">
        <v>40</v>
      </c>
      <c r="E45">
        <v>15183</v>
      </c>
      <c r="F45">
        <v>4092</v>
      </c>
      <c r="G45">
        <v>48979</v>
      </c>
      <c r="H45">
        <v>3954</v>
      </c>
      <c r="I45">
        <v>0</v>
      </c>
      <c r="J45">
        <v>263939</v>
      </c>
      <c r="K45">
        <v>0</v>
      </c>
      <c r="L45">
        <v>0</v>
      </c>
      <c r="M45">
        <v>0</v>
      </c>
      <c r="N45">
        <v>7</v>
      </c>
      <c r="O45">
        <v>19540</v>
      </c>
      <c r="P45">
        <v>0</v>
      </c>
      <c r="Q45">
        <v>4166</v>
      </c>
      <c r="R45">
        <v>0</v>
      </c>
      <c r="U45">
        <v>374070</v>
      </c>
      <c r="V45">
        <v>46858</v>
      </c>
      <c r="W45">
        <v>0</v>
      </c>
      <c r="X45">
        <v>16285</v>
      </c>
      <c r="Y45">
        <f t="shared" ref="Y45" si="7">SUM(C45:X45)</f>
        <v>802066</v>
      </c>
    </row>
  </sheetData>
  <mergeCells count="3">
    <mergeCell ref="A1:Z2"/>
    <mergeCell ref="S4:T4"/>
    <mergeCell ref="Y4:Z4"/>
  </mergeCells>
  <pageMargins left="0.25" right="0.28000000000000003" top="0.74803149606299213" bottom="0.74803149606299213" header="0.31496062992125984" footer="0.31496062992125984"/>
  <pageSetup paperSize="9" scale="5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C47"/>
  <sheetViews>
    <sheetView zoomScale="90" zoomScaleNormal="90" workbookViewId="0">
      <selection activeCell="A3" sqref="A3"/>
    </sheetView>
  </sheetViews>
  <sheetFormatPr defaultRowHeight="15" x14ac:dyDescent="0.25"/>
  <cols>
    <col min="1" max="1" width="33.85546875" customWidth="1"/>
    <col min="2" max="2" width="7.28515625" customWidth="1"/>
    <col min="3" max="3" width="8.42578125" customWidth="1"/>
    <col min="4" max="5" width="12.7109375" customWidth="1"/>
    <col min="6" max="6" width="9" customWidth="1"/>
    <col min="7" max="7" width="8.140625" bestFit="1" customWidth="1"/>
    <col min="8" max="8" width="8.28515625" bestFit="1" customWidth="1"/>
    <col min="9" max="9" width="11.5703125" customWidth="1"/>
    <col min="10" max="10" width="9" bestFit="1" customWidth="1"/>
    <col min="11" max="11" width="6" customWidth="1"/>
    <col min="12" max="12" width="7.140625" customWidth="1"/>
    <col min="13" max="13" width="7.7109375" customWidth="1"/>
    <col min="14" max="14" width="9" customWidth="1"/>
    <col min="15" max="15" width="9.5703125" customWidth="1"/>
    <col min="16" max="16" width="7.7109375" customWidth="1"/>
    <col min="17" max="17" width="7.5703125" customWidth="1"/>
    <col min="18" max="18" width="7.85546875" customWidth="1"/>
    <col min="19" max="19" width="9.140625" customWidth="1"/>
    <col min="20" max="20" width="7.140625" customWidth="1"/>
    <col min="21" max="21" width="10" customWidth="1"/>
    <col min="22" max="22" width="11.140625" bestFit="1" customWidth="1"/>
    <col min="23" max="23" width="9.28515625" bestFit="1" customWidth="1"/>
    <col min="24" max="24" width="13" customWidth="1"/>
    <col min="25" max="25" width="9.4257812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165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184" t="s">
        <v>2</v>
      </c>
      <c r="D4" s="5" t="s">
        <v>3</v>
      </c>
      <c r="E4" s="5" t="s">
        <v>4</v>
      </c>
      <c r="F4" s="5" t="s">
        <v>102</v>
      </c>
      <c r="G4" s="185" t="s">
        <v>6</v>
      </c>
      <c r="H4" s="185" t="s">
        <v>7</v>
      </c>
      <c r="I4" s="5" t="s">
        <v>101</v>
      </c>
      <c r="J4" s="185" t="s">
        <v>9</v>
      </c>
      <c r="K4" s="185" t="s">
        <v>10</v>
      </c>
      <c r="L4" s="185" t="s">
        <v>11</v>
      </c>
      <c r="M4" s="185" t="s">
        <v>12</v>
      </c>
      <c r="N4" s="185" t="s">
        <v>13</v>
      </c>
      <c r="O4" s="5" t="s">
        <v>14</v>
      </c>
      <c r="P4" s="185" t="s">
        <v>15</v>
      </c>
      <c r="Q4" s="185" t="s">
        <v>16</v>
      </c>
      <c r="R4" s="185" t="s">
        <v>17</v>
      </c>
      <c r="S4" s="327" t="s">
        <v>18</v>
      </c>
      <c r="T4" s="328"/>
      <c r="U4" s="184" t="s">
        <v>19</v>
      </c>
      <c r="V4" s="185" t="s">
        <v>20</v>
      </c>
      <c r="W4" s="7" t="s">
        <v>21</v>
      </c>
      <c r="X4" s="7" t="s">
        <v>22</v>
      </c>
      <c r="Y4" s="329" t="s">
        <v>23</v>
      </c>
      <c r="Z4" s="330"/>
      <c r="AA4" s="181"/>
      <c r="AB4" s="181"/>
      <c r="AC4" s="181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2" t="s">
        <v>25</v>
      </c>
      <c r="U5" s="182" t="s">
        <v>25</v>
      </c>
      <c r="V5" s="182" t="s">
        <v>25</v>
      </c>
      <c r="W5" s="182" t="s">
        <v>25</v>
      </c>
      <c r="X5" s="182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20</v>
      </c>
      <c r="D6" s="19"/>
      <c r="E6" s="19"/>
      <c r="F6" s="19">
        <v>15</v>
      </c>
      <c r="G6" s="19"/>
      <c r="H6" s="19">
        <v>15</v>
      </c>
      <c r="I6" s="19"/>
      <c r="J6" s="19">
        <v>15</v>
      </c>
      <c r="K6" s="19"/>
      <c r="L6" s="19"/>
      <c r="M6" s="19"/>
      <c r="N6" s="19">
        <v>20</v>
      </c>
      <c r="O6" s="19">
        <v>20</v>
      </c>
      <c r="P6" s="19"/>
      <c r="Q6" s="19">
        <v>20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4517.8500000000004</v>
      </c>
      <c r="T6" s="21">
        <f>S6*100/$S$31</f>
        <v>7.7363094626528319</v>
      </c>
      <c r="U6" s="22"/>
      <c r="V6" s="22"/>
      <c r="W6" s="22"/>
      <c r="X6" s="23"/>
      <c r="Y6" s="20">
        <f>U6/100*$U$31+V6/100*$V$31+W6/100*$W$31+X6/100*$X$31+S6</f>
        <v>4517.8500000000004</v>
      </c>
      <c r="Z6" s="25">
        <f t="shared" ref="Z6:Z29" si="0">Y6*100/$Y$31</f>
        <v>4.1619223966393992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>
        <v>7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1142.1200000000001</v>
      </c>
      <c r="T7" s="21">
        <f>S7*100/$S$31</f>
        <v>1.9557519093119631</v>
      </c>
      <c r="U7" s="22"/>
      <c r="V7" s="22"/>
      <c r="W7" s="22"/>
      <c r="X7" s="23"/>
      <c r="Y7" s="20">
        <f t="shared" ref="Y7:Y29" si="2">U7/100*$U$31+V7/100*$V$31+W7/100*$W$31+X7/100*$X$31+S7</f>
        <v>1142.1200000000001</v>
      </c>
      <c r="Z7" s="25">
        <f t="shared" si="0"/>
        <v>1.0521409094258973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>
        <v>5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815.80000000000007</v>
      </c>
      <c r="T8" s="21">
        <f>S8*100/$S$31</f>
        <v>1.3969656495085447</v>
      </c>
      <c r="U8" s="22"/>
      <c r="V8" s="22"/>
      <c r="W8" s="22"/>
      <c r="X8" s="23"/>
      <c r="Y8" s="20">
        <f t="shared" si="2"/>
        <v>815.80000000000007</v>
      </c>
      <c r="Z8" s="25">
        <f t="shared" si="0"/>
        <v>0.75152922101849806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>
        <v>35</v>
      </c>
      <c r="D13" s="22"/>
      <c r="E13" s="22"/>
      <c r="F13" s="22">
        <v>40</v>
      </c>
      <c r="G13" s="22"/>
      <c r="H13" s="22">
        <v>40</v>
      </c>
      <c r="I13" s="22"/>
      <c r="J13" s="22">
        <v>33</v>
      </c>
      <c r="K13" s="22"/>
      <c r="L13" s="22"/>
      <c r="M13" s="22"/>
      <c r="N13" s="22">
        <v>35</v>
      </c>
      <c r="O13" s="22">
        <v>35</v>
      </c>
      <c r="P13" s="22"/>
      <c r="Q13" s="22">
        <v>80</v>
      </c>
      <c r="R13" s="22"/>
      <c r="S13" s="20">
        <f t="shared" si="1"/>
        <v>10364.780000000001</v>
      </c>
      <c r="T13" s="21">
        <f t="shared" si="3"/>
        <v>17.748518784889896</v>
      </c>
      <c r="U13" s="22">
        <v>5</v>
      </c>
      <c r="V13" s="22"/>
      <c r="W13" s="22"/>
      <c r="X13" s="23"/>
      <c r="Y13" s="20">
        <f t="shared" si="2"/>
        <v>11580.230000000001</v>
      </c>
      <c r="Z13" s="25">
        <f t="shared" si="0"/>
        <v>10.66791031026605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/>
      <c r="D15" s="22"/>
      <c r="E15" s="22">
        <v>100</v>
      </c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18867</v>
      </c>
      <c r="T15" s="21">
        <f t="shared" si="3"/>
        <v>32.307613274427204</v>
      </c>
      <c r="U15" s="22"/>
      <c r="V15" s="33"/>
      <c r="W15" s="33"/>
      <c r="X15" s="23"/>
      <c r="Y15" s="20">
        <f t="shared" si="2"/>
        <v>18867</v>
      </c>
      <c r="Z15" s="25">
        <f t="shared" si="0"/>
        <v>17.380610214459431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12056</v>
      </c>
      <c r="T16" s="21">
        <f t="shared" si="3"/>
        <v>20.64454262132265</v>
      </c>
      <c r="U16" s="22"/>
      <c r="V16" s="33"/>
      <c r="W16" s="33"/>
      <c r="X16" s="23"/>
      <c r="Y16" s="20">
        <f t="shared" si="2"/>
        <v>12056</v>
      </c>
      <c r="Z16" s="25">
        <f t="shared" si="0"/>
        <v>11.106197951212323</v>
      </c>
    </row>
    <row r="17" spans="1:27" x14ac:dyDescent="0.25">
      <c r="A17" s="43" t="s">
        <v>37</v>
      </c>
      <c r="B17" s="30" t="s">
        <v>25</v>
      </c>
      <c r="C17" s="22">
        <v>45</v>
      </c>
      <c r="D17" s="22"/>
      <c r="E17" s="22"/>
      <c r="F17" s="22">
        <v>45</v>
      </c>
      <c r="G17" s="22"/>
      <c r="H17" s="22">
        <v>45</v>
      </c>
      <c r="I17" s="22"/>
      <c r="J17" s="22">
        <v>40</v>
      </c>
      <c r="K17" s="22"/>
      <c r="L17" s="22"/>
      <c r="M17" s="22"/>
      <c r="N17" s="22">
        <v>45</v>
      </c>
      <c r="O17" s="22">
        <v>45</v>
      </c>
      <c r="P17" s="22"/>
      <c r="Q17" s="22"/>
      <c r="R17" s="22"/>
      <c r="S17" s="20">
        <f t="shared" si="1"/>
        <v>10634.45</v>
      </c>
      <c r="T17" s="21">
        <f t="shared" si="3"/>
        <v>18.210298297886915</v>
      </c>
      <c r="U17" s="33"/>
      <c r="V17" s="22">
        <v>100</v>
      </c>
      <c r="W17" s="22"/>
      <c r="X17" s="23">
        <v>100</v>
      </c>
      <c r="Y17" s="20">
        <f t="shared" si="2"/>
        <v>36479.449999999997</v>
      </c>
      <c r="Z17" s="25">
        <f t="shared" si="0"/>
        <v>33.60550703810155</v>
      </c>
    </row>
    <row r="18" spans="1:27" x14ac:dyDescent="0.25">
      <c r="A18" s="35" t="s">
        <v>38</v>
      </c>
      <c r="B18" s="18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24</v>
      </c>
      <c r="V18" s="22"/>
      <c r="W18" s="22"/>
      <c r="X18" s="23"/>
      <c r="Y18" s="20">
        <f t="shared" si="2"/>
        <v>5834.16</v>
      </c>
      <c r="Z18" s="25">
        <f t="shared" si="0"/>
        <v>5.3745301790846787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18</v>
      </c>
      <c r="V19" s="22"/>
      <c r="W19" s="22"/>
      <c r="X19" s="23"/>
      <c r="Y19" s="20">
        <f t="shared" si="2"/>
        <v>4375.62</v>
      </c>
      <c r="Z19" s="25">
        <f t="shared" si="0"/>
        <v>4.0308976343135088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5</v>
      </c>
      <c r="V20" s="22"/>
      <c r="W20" s="22"/>
      <c r="X20" s="23"/>
      <c r="Y20" s="20">
        <f t="shared" si="2"/>
        <v>1215.45</v>
      </c>
      <c r="Z20" s="25">
        <f t="shared" si="0"/>
        <v>1.119693787309308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5</v>
      </c>
      <c r="V21" s="22"/>
      <c r="W21" s="22"/>
      <c r="X21" s="23"/>
      <c r="Y21" s="20">
        <f t="shared" si="2"/>
        <v>1215.45</v>
      </c>
      <c r="Z21" s="25">
        <f t="shared" si="0"/>
        <v>1.119693787309308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8</v>
      </c>
      <c r="V23" s="22"/>
      <c r="W23" s="22"/>
      <c r="X23" s="23"/>
      <c r="Y23" s="20">
        <f t="shared" si="2"/>
        <v>1944.72</v>
      </c>
      <c r="Z23" s="25">
        <f t="shared" si="0"/>
        <v>1.7915100596948927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2</v>
      </c>
      <c r="V24" s="22"/>
      <c r="W24" s="22"/>
      <c r="X24" s="23"/>
      <c r="Y24" s="20">
        <f t="shared" si="2"/>
        <v>486.18</v>
      </c>
      <c r="Z24" s="25">
        <f t="shared" si="0"/>
        <v>0.44787751492372319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10</v>
      </c>
      <c r="V25" s="22"/>
      <c r="W25" s="22"/>
      <c r="X25" s="23"/>
      <c r="Y25" s="20">
        <f t="shared" si="2"/>
        <v>2430.9</v>
      </c>
      <c r="Z25" s="25">
        <f t="shared" si="0"/>
        <v>2.239387574618616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20</v>
      </c>
      <c r="V27" s="22"/>
      <c r="W27" s="22"/>
      <c r="X27" s="23"/>
      <c r="Y27" s="20">
        <f t="shared" si="2"/>
        <v>4861.8</v>
      </c>
      <c r="Z27" s="25">
        <f t="shared" si="0"/>
        <v>4.4787751492372321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3</v>
      </c>
      <c r="V28" s="22"/>
      <c r="W28" s="22"/>
      <c r="X28" s="23"/>
      <c r="Y28" s="20">
        <f t="shared" si="2"/>
        <v>729.27</v>
      </c>
      <c r="Z28" s="25">
        <f t="shared" si="0"/>
        <v>0.67181627238558483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58398</v>
      </c>
      <c r="T30" s="20">
        <f>+SUM(T6:T29)</f>
        <v>100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108551.99999999999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3572</v>
      </c>
      <c r="D31" s="47">
        <v>0</v>
      </c>
      <c r="E31" s="47">
        <v>6811</v>
      </c>
      <c r="F31" s="47">
        <v>2522</v>
      </c>
      <c r="G31" s="47">
        <v>24112</v>
      </c>
      <c r="H31" s="47">
        <v>705</v>
      </c>
      <c r="I31" s="47">
        <v>0</v>
      </c>
      <c r="J31" s="47">
        <v>16316</v>
      </c>
      <c r="K31" s="47">
        <v>0</v>
      </c>
      <c r="L31" s="47">
        <v>0</v>
      </c>
      <c r="M31" s="47">
        <v>0</v>
      </c>
      <c r="N31" s="47">
        <v>721</v>
      </c>
      <c r="O31" s="47">
        <v>1609</v>
      </c>
      <c r="P31" s="47">
        <v>0</v>
      </c>
      <c r="Q31" s="47">
        <v>2030</v>
      </c>
      <c r="R31" s="47">
        <v>0</v>
      </c>
      <c r="S31" s="48">
        <f>SUM(C31:R31)</f>
        <v>58398</v>
      </c>
      <c r="T31" s="48">
        <f>S31*100/$S$31</f>
        <v>100</v>
      </c>
      <c r="U31" s="47">
        <v>24309</v>
      </c>
      <c r="V31" s="47">
        <v>8193</v>
      </c>
      <c r="W31" s="47">
        <v>0</v>
      </c>
      <c r="X31" s="47">
        <v>17652</v>
      </c>
      <c r="Y31" s="48">
        <f>+S31+U31+V31+X31</f>
        <v>108552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 t="s">
        <v>166</v>
      </c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5" x14ac:dyDescent="0.25">
      <c r="A37" s="11" t="s">
        <v>57</v>
      </c>
      <c r="B37" s="38" t="s">
        <v>162</v>
      </c>
      <c r="C37" s="38"/>
      <c r="D37" s="38"/>
      <c r="E37" s="38"/>
      <c r="F37" s="41"/>
      <c r="G37" s="10"/>
    </row>
    <row r="38" spans="1:25" x14ac:dyDescent="0.25">
      <c r="A38" t="s">
        <v>58</v>
      </c>
      <c r="G38" s="10"/>
      <c r="X38" s="81"/>
    </row>
    <row r="39" spans="1:25" ht="18.75" x14ac:dyDescent="0.3">
      <c r="A39" s="60"/>
      <c r="B39" s="61"/>
      <c r="X39" s="81"/>
    </row>
    <row r="40" spans="1:25" x14ac:dyDescent="0.25">
      <c r="A40" s="194"/>
      <c r="B40" s="194"/>
      <c r="C40" s="88"/>
      <c r="D40" s="88"/>
      <c r="E40" s="88"/>
      <c r="F40" s="88"/>
      <c r="G40" s="88"/>
      <c r="H40" s="88"/>
      <c r="I40" s="88"/>
      <c r="X40" s="81"/>
    </row>
    <row r="41" spans="1:25" ht="18.75" x14ac:dyDescent="0.3">
      <c r="B41" s="61"/>
    </row>
    <row r="42" spans="1:25" x14ac:dyDescent="0.25">
      <c r="A42" s="10"/>
      <c r="C42" s="62" t="s">
        <v>97</v>
      </c>
      <c r="D42" s="62"/>
      <c r="E42" s="62"/>
    </row>
    <row r="43" spans="1:25" x14ac:dyDescent="0.25">
      <c r="A43" s="62" t="s">
        <v>167</v>
      </c>
      <c r="B43" s="62"/>
      <c r="C43" s="63">
        <v>74911</v>
      </c>
      <c r="D43" s="63"/>
      <c r="E43" s="63"/>
      <c r="F43" s="64"/>
      <c r="G43" s="64"/>
    </row>
    <row r="44" spans="1:25" x14ac:dyDescent="0.25">
      <c r="A44" s="62" t="s">
        <v>168</v>
      </c>
      <c r="B44" s="62"/>
      <c r="C44" s="63">
        <v>33641</v>
      </c>
      <c r="D44" s="63"/>
      <c r="E44" s="63"/>
      <c r="F44" s="64"/>
      <c r="G44" s="64"/>
    </row>
    <row r="45" spans="1:25" x14ac:dyDescent="0.25">
      <c r="A45" s="62"/>
      <c r="B45" s="62"/>
      <c r="C45" s="195">
        <f>SUM(C43:C44)</f>
        <v>108552</v>
      </c>
      <c r="D45" s="195"/>
      <c r="E45" s="195"/>
      <c r="F45" s="195"/>
      <c r="G45" s="195"/>
    </row>
    <row r="47" spans="1:25" x14ac:dyDescent="0.25">
      <c r="C47">
        <v>3572</v>
      </c>
      <c r="D47">
        <v>0</v>
      </c>
      <c r="E47">
        <v>6811</v>
      </c>
      <c r="F47">
        <v>2522</v>
      </c>
      <c r="G47">
        <v>24112</v>
      </c>
      <c r="H47">
        <v>705</v>
      </c>
      <c r="I47">
        <v>0</v>
      </c>
      <c r="J47">
        <v>16316</v>
      </c>
      <c r="K47">
        <v>0</v>
      </c>
      <c r="L47">
        <v>0</v>
      </c>
      <c r="M47">
        <v>0</v>
      </c>
      <c r="N47">
        <v>721</v>
      </c>
      <c r="O47">
        <v>1609</v>
      </c>
      <c r="P47">
        <v>0</v>
      </c>
      <c r="Q47">
        <v>2030</v>
      </c>
      <c r="R47">
        <v>0</v>
      </c>
      <c r="U47">
        <v>24309</v>
      </c>
      <c r="V47">
        <v>8193</v>
      </c>
      <c r="W47">
        <v>0</v>
      </c>
      <c r="X47">
        <v>17652</v>
      </c>
      <c r="Y47">
        <f>SUM(C47:X47)</f>
        <v>108552</v>
      </c>
    </row>
  </sheetData>
  <mergeCells count="3">
    <mergeCell ref="A1:Z2"/>
    <mergeCell ref="S4:T4"/>
    <mergeCell ref="Y4:Z4"/>
  </mergeCells>
  <pageMargins left="0.28999999999999998" right="0.2" top="0.74803149606299213" bottom="0.74803149606299213" header="0.31496062992125984" footer="0.31496062992125984"/>
  <pageSetup paperSize="9" scale="5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4" customWidth="1"/>
    <col min="2" max="2" width="7.28515625" customWidth="1"/>
    <col min="3" max="3" width="8.5703125" customWidth="1"/>
    <col min="4" max="5" width="12.5703125" customWidth="1"/>
    <col min="6" max="6" width="9.5703125" customWidth="1"/>
    <col min="7" max="7" width="9.140625" bestFit="1" customWidth="1"/>
    <col min="8" max="8" width="8.28515625" bestFit="1" customWidth="1"/>
    <col min="9" max="9" width="11.5703125" customWidth="1"/>
    <col min="10" max="10" width="9.140625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9.140625" bestFit="1" customWidth="1"/>
    <col min="15" max="15" width="10.42578125" customWidth="1"/>
    <col min="16" max="16" width="7" bestFit="1" customWidth="1"/>
    <col min="17" max="17" width="8.140625" bestFit="1" customWidth="1"/>
    <col min="18" max="18" width="7" bestFit="1" customWidth="1"/>
    <col min="19" max="19" width="9.85546875" customWidth="1"/>
    <col min="20" max="20" width="6.85546875" customWidth="1"/>
    <col min="21" max="21" width="10" customWidth="1"/>
    <col min="22" max="22" width="11.140625" bestFit="1" customWidth="1"/>
    <col min="23" max="23" width="8.28515625" customWidth="1"/>
    <col min="24" max="24" width="12.85546875" customWidth="1"/>
    <col min="25" max="25" width="11.4257812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169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184" t="s">
        <v>2</v>
      </c>
      <c r="D4" s="5" t="s">
        <v>3</v>
      </c>
      <c r="E4" s="5" t="s">
        <v>79</v>
      </c>
      <c r="F4" s="5" t="s">
        <v>102</v>
      </c>
      <c r="G4" s="185" t="s">
        <v>6</v>
      </c>
      <c r="H4" s="185" t="s">
        <v>7</v>
      </c>
      <c r="I4" s="5" t="s">
        <v>101</v>
      </c>
      <c r="J4" s="185" t="s">
        <v>9</v>
      </c>
      <c r="K4" s="185" t="s">
        <v>10</v>
      </c>
      <c r="L4" s="185" t="s">
        <v>11</v>
      </c>
      <c r="M4" s="185" t="s">
        <v>12</v>
      </c>
      <c r="N4" s="185" t="s">
        <v>13</v>
      </c>
      <c r="O4" s="5" t="s">
        <v>14</v>
      </c>
      <c r="P4" s="185" t="s">
        <v>15</v>
      </c>
      <c r="Q4" s="185" t="s">
        <v>16</v>
      </c>
      <c r="R4" s="185" t="s">
        <v>17</v>
      </c>
      <c r="S4" s="327" t="s">
        <v>18</v>
      </c>
      <c r="T4" s="328"/>
      <c r="U4" s="184" t="s">
        <v>19</v>
      </c>
      <c r="V4" s="185" t="s">
        <v>20</v>
      </c>
      <c r="W4" s="7" t="s">
        <v>21</v>
      </c>
      <c r="X4" s="7" t="s">
        <v>22</v>
      </c>
      <c r="Y4" s="329" t="s">
        <v>23</v>
      </c>
      <c r="Z4" s="330"/>
      <c r="AA4" s="181"/>
      <c r="AB4" s="181"/>
      <c r="AC4" s="181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2" t="s">
        <v>25</v>
      </c>
      <c r="U5" s="182" t="s">
        <v>25</v>
      </c>
      <c r="V5" s="182" t="s">
        <v>25</v>
      </c>
      <c r="W5" s="182" t="s">
        <v>25</v>
      </c>
      <c r="X5" s="182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15</v>
      </c>
      <c r="K6" s="19"/>
      <c r="L6" s="19"/>
      <c r="M6" s="19"/>
      <c r="N6" s="19">
        <v>20</v>
      </c>
      <c r="O6" s="19">
        <v>20</v>
      </c>
      <c r="P6" s="19"/>
      <c r="Q6" s="19">
        <v>15</v>
      </c>
      <c r="R6" s="19">
        <v>20</v>
      </c>
      <c r="S6" s="20">
        <f>C6/100*$C$31+D6/100*$D$31+E6/100*$E$31+F6/100*$F$31+G6/100*$G$31+H6/100*$H$31+I6/100*$I$31+J6/100*$J$31+K6/100*$K$31+L6/100*$L$31+M6/100*$M$31+N6/100*$N$31+O6/100*$O$31+P6/100*$P$31+Q6/100*$Q$31+R6/100*$R$31</f>
        <v>590766</v>
      </c>
      <c r="T6" s="21">
        <f>S6*100/$S$31</f>
        <v>18.484820798309862</v>
      </c>
      <c r="U6" s="22"/>
      <c r="V6" s="22"/>
      <c r="W6" s="22"/>
      <c r="X6" s="23"/>
      <c r="Y6" s="24">
        <f>U6/100*$U$31+V6/100*$V$31+W6/100*$W$31+X6/100*$X$31+S6</f>
        <v>590766</v>
      </c>
      <c r="Z6" s="25">
        <f t="shared" ref="Z6:Z29" si="0">Y6*100/$Y$31</f>
        <v>14.074700746492855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>
        <v>35</v>
      </c>
      <c r="K7" s="22"/>
      <c r="L7" s="22"/>
      <c r="M7" s="22"/>
      <c r="N7" s="22">
        <v>5</v>
      </c>
      <c r="O7" s="22">
        <v>5</v>
      </c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177891.95</v>
      </c>
      <c r="T7" s="21">
        <f>S7*100/$S$31</f>
        <v>5.5661646357642418</v>
      </c>
      <c r="U7" s="22">
        <v>2</v>
      </c>
      <c r="V7" s="22"/>
      <c r="W7" s="22"/>
      <c r="X7" s="23"/>
      <c r="Y7" s="20">
        <f t="shared" ref="Y7:Y29" si="2">U7/100*$U$31+V7/100*$V$31+W7/100*$W$31+X7/100*$X$31+S7</f>
        <v>193494.01</v>
      </c>
      <c r="Z7" s="25">
        <f t="shared" si="0"/>
        <v>4.6098967899115655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60</v>
      </c>
      <c r="G8" s="22"/>
      <c r="H8" s="22">
        <v>60</v>
      </c>
      <c r="I8" s="22"/>
      <c r="J8" s="22">
        <v>50</v>
      </c>
      <c r="K8" s="22"/>
      <c r="L8" s="22"/>
      <c r="M8" s="22"/>
      <c r="N8" s="22">
        <v>60</v>
      </c>
      <c r="O8" s="22">
        <v>60</v>
      </c>
      <c r="P8" s="22"/>
      <c r="Q8" s="22">
        <v>60</v>
      </c>
      <c r="R8" s="22">
        <v>50</v>
      </c>
      <c r="S8" s="20">
        <f t="shared" si="1"/>
        <v>1800867.1</v>
      </c>
      <c r="T8" s="21">
        <f>S8*100/$S$31</f>
        <v>56.348377572629374</v>
      </c>
      <c r="U8" s="22">
        <v>5</v>
      </c>
      <c r="V8" s="22"/>
      <c r="W8" s="22"/>
      <c r="X8" s="23"/>
      <c r="Y8" s="20">
        <f t="shared" si="2"/>
        <v>1839872.25</v>
      </c>
      <c r="Z8" s="25">
        <f t="shared" si="0"/>
        <v>43.834024521598216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>
        <v>10</v>
      </c>
      <c r="I13" s="22"/>
      <c r="J13" s="22"/>
      <c r="K13" s="22"/>
      <c r="L13" s="22"/>
      <c r="M13" s="22"/>
      <c r="N13" s="22">
        <v>2</v>
      </c>
      <c r="O13" s="22">
        <v>2</v>
      </c>
      <c r="P13" s="22"/>
      <c r="Q13" s="22"/>
      <c r="R13" s="22"/>
      <c r="S13" s="20">
        <f t="shared" si="1"/>
        <v>61821.56</v>
      </c>
      <c r="T13" s="21">
        <f t="shared" si="3"/>
        <v>1.9343707289721497</v>
      </c>
      <c r="U13" s="22"/>
      <c r="V13" s="22"/>
      <c r="W13" s="22"/>
      <c r="X13" s="23"/>
      <c r="Y13" s="20">
        <f t="shared" si="2"/>
        <v>61821.56</v>
      </c>
      <c r="Z13" s="25">
        <f t="shared" si="0"/>
        <v>1.4728673564175205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>
        <v>15</v>
      </c>
      <c r="I14" s="22"/>
      <c r="J14" s="22"/>
      <c r="K14" s="22"/>
      <c r="L14" s="22"/>
      <c r="M14" s="22"/>
      <c r="N14" s="22">
        <v>3</v>
      </c>
      <c r="O14" s="22">
        <v>3</v>
      </c>
      <c r="P14" s="22"/>
      <c r="Q14" s="22"/>
      <c r="R14" s="22"/>
      <c r="S14" s="20">
        <f t="shared" si="1"/>
        <v>92732.34</v>
      </c>
      <c r="T14" s="21">
        <f t="shared" si="3"/>
        <v>2.9015560934582245</v>
      </c>
      <c r="U14" s="22"/>
      <c r="V14" s="22"/>
      <c r="W14" s="22"/>
      <c r="X14" s="23"/>
      <c r="Y14" s="20">
        <f t="shared" si="2"/>
        <v>92732.34</v>
      </c>
      <c r="Z14" s="25">
        <f t="shared" si="0"/>
        <v>2.2093010346262805</v>
      </c>
    </row>
    <row r="15" spans="1:29" x14ac:dyDescent="0.25">
      <c r="A15" s="31" t="s">
        <v>35</v>
      </c>
      <c r="B15" s="18" t="s">
        <v>25</v>
      </c>
      <c r="C15" s="22">
        <v>100</v>
      </c>
      <c r="D15" s="22">
        <v>100</v>
      </c>
      <c r="E15" s="22">
        <v>100</v>
      </c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101777</v>
      </c>
      <c r="T15" s="21">
        <f t="shared" si="3"/>
        <v>3.1845597180433249</v>
      </c>
      <c r="U15" s="22">
        <v>1</v>
      </c>
      <c r="V15" s="33"/>
      <c r="W15" s="33"/>
      <c r="X15" s="23"/>
      <c r="Y15" s="20">
        <f t="shared" si="2"/>
        <v>109578.03</v>
      </c>
      <c r="Z15" s="25">
        <f t="shared" si="0"/>
        <v>2.6106410670895355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71671</v>
      </c>
      <c r="T16" s="21">
        <f t="shared" si="3"/>
        <v>2.2425555828122574</v>
      </c>
      <c r="U16" s="22"/>
      <c r="V16" s="33"/>
      <c r="W16" s="33"/>
      <c r="X16" s="23"/>
      <c r="Y16" s="20">
        <f t="shared" si="2"/>
        <v>71671</v>
      </c>
      <c r="Z16" s="25">
        <f t="shared" si="0"/>
        <v>1.7075252760008015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25</v>
      </c>
      <c r="G17" s="22"/>
      <c r="H17" s="22"/>
      <c r="I17" s="22"/>
      <c r="J17" s="22"/>
      <c r="K17" s="22"/>
      <c r="L17" s="22"/>
      <c r="M17" s="22"/>
      <c r="N17" s="22">
        <v>10</v>
      </c>
      <c r="O17" s="22">
        <v>10</v>
      </c>
      <c r="P17" s="22"/>
      <c r="Q17" s="22">
        <v>25</v>
      </c>
      <c r="R17" s="22">
        <v>30</v>
      </c>
      <c r="S17" s="20">
        <f t="shared" si="1"/>
        <v>298425.05</v>
      </c>
      <c r="T17" s="21">
        <f t="shared" si="3"/>
        <v>9.3375948700105642</v>
      </c>
      <c r="U17" s="33"/>
      <c r="V17" s="22">
        <v>100</v>
      </c>
      <c r="W17" s="22"/>
      <c r="X17" s="23">
        <v>100</v>
      </c>
      <c r="Y17" s="20">
        <f t="shared" si="2"/>
        <v>519731.05</v>
      </c>
      <c r="Z17" s="25">
        <f t="shared" si="0"/>
        <v>12.382329039603693</v>
      </c>
    </row>
    <row r="18" spans="1:27" x14ac:dyDescent="0.25">
      <c r="A18" s="35" t="s">
        <v>38</v>
      </c>
      <c r="B18" s="18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>C18/100*$C$31+D18/100*$D$31+E18/100*$E$31+F18/100*$F$31+G18/100*$G$31+H18/100*$H$31+I18/100*$I$31+J18/100*$J$31+K18/100*$K$31+L18/100*$L$31+M18/100*$M$31+N18/100*$N$31+O18/100*$O$31+P18/100*$P$31+Q18/100*$Q$31+R18/100*$R$31</f>
        <v>0</v>
      </c>
      <c r="T18" s="21">
        <f>S18*100/$S$31</f>
        <v>0</v>
      </c>
      <c r="U18" s="33">
        <v>1</v>
      </c>
      <c r="V18" s="22"/>
      <c r="W18" s="22"/>
      <c r="X18" s="23"/>
      <c r="Y18" s="20">
        <f t="shared" si="2"/>
        <v>7801.03</v>
      </c>
      <c r="Z18" s="25">
        <f t="shared" si="0"/>
        <v>0.18585558878542971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7</v>
      </c>
      <c r="V19" s="22"/>
      <c r="W19" s="22"/>
      <c r="X19" s="23"/>
      <c r="Y19" s="20">
        <f t="shared" si="2"/>
        <v>54607.210000000006</v>
      </c>
      <c r="Z19" s="25">
        <f t="shared" si="0"/>
        <v>1.300989121498008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/>
      <c r="V20" s="22"/>
      <c r="W20" s="22"/>
      <c r="X20" s="23"/>
      <c r="Y20" s="20">
        <f t="shared" si="2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3</v>
      </c>
      <c r="V21" s="22"/>
      <c r="W21" s="22"/>
      <c r="X21" s="23"/>
      <c r="Y21" s="20">
        <f t="shared" si="2"/>
        <v>23403.09</v>
      </c>
      <c r="Z21" s="25">
        <f t="shared" si="0"/>
        <v>0.5575667663562891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5</v>
      </c>
      <c r="V23" s="22"/>
      <c r="W23" s="22"/>
      <c r="X23" s="23"/>
      <c r="Y23" s="20">
        <f t="shared" si="2"/>
        <v>39005.15</v>
      </c>
      <c r="Z23" s="25">
        <f t="shared" si="0"/>
        <v>0.92927794392714846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30</v>
      </c>
      <c r="V24" s="22"/>
      <c r="W24" s="22"/>
      <c r="X24" s="23"/>
      <c r="Y24" s="20">
        <f t="shared" si="2"/>
        <v>234030.9</v>
      </c>
      <c r="Z24" s="25">
        <f t="shared" si="0"/>
        <v>5.575667663562891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22">
        <v>15</v>
      </c>
      <c r="V25" s="22"/>
      <c r="W25" s="22"/>
      <c r="X25" s="23"/>
      <c r="Y25" s="20">
        <f t="shared" si="2"/>
        <v>117015.45</v>
      </c>
      <c r="Z25" s="25">
        <f t="shared" si="0"/>
        <v>2.7878338317814455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>
        <v>5</v>
      </c>
      <c r="V26" s="22"/>
      <c r="W26" s="22"/>
      <c r="X26" s="23"/>
      <c r="Y26" s="20">
        <f t="shared" si="2"/>
        <v>39005.15</v>
      </c>
      <c r="Z26" s="25">
        <f t="shared" si="0"/>
        <v>0.92927794392714846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22">
        <v>25</v>
      </c>
      <c r="V27" s="22"/>
      <c r="W27" s="22"/>
      <c r="X27" s="23"/>
      <c r="Y27" s="20">
        <f t="shared" si="2"/>
        <v>195025.75</v>
      </c>
      <c r="Z27" s="25">
        <f t="shared" si="0"/>
        <v>4.6463897196357422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1</v>
      </c>
      <c r="V28" s="22"/>
      <c r="W28" s="22"/>
      <c r="X28" s="23"/>
      <c r="Y28" s="20">
        <f t="shared" si="2"/>
        <v>7801.03</v>
      </c>
      <c r="Z28" s="25">
        <f t="shared" si="0"/>
        <v>0.18585558878542971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100</v>
      </c>
      <c r="S30" s="20">
        <f>+SUM(S6:S29)</f>
        <v>3195951.9999999995</v>
      </c>
      <c r="T30" s="20">
        <f>+SUM(T6:T29)</f>
        <v>100.00000000000001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4197360.9999999991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12803</v>
      </c>
      <c r="D31" s="47">
        <v>95</v>
      </c>
      <c r="E31" s="47">
        <v>17208</v>
      </c>
      <c r="F31" s="47">
        <v>75837</v>
      </c>
      <c r="G31" s="47">
        <v>143342</v>
      </c>
      <c r="H31" s="47">
        <v>70515</v>
      </c>
      <c r="I31" s="47">
        <v>0</v>
      </c>
      <c r="J31" s="47">
        <v>117048</v>
      </c>
      <c r="K31" s="47">
        <v>0</v>
      </c>
      <c r="L31" s="47">
        <v>0</v>
      </c>
      <c r="M31" s="47">
        <v>0</v>
      </c>
      <c r="N31" s="47">
        <v>310353</v>
      </c>
      <c r="O31" s="47">
        <v>2428150</v>
      </c>
      <c r="P31" s="47">
        <v>0</v>
      </c>
      <c r="Q31" s="47">
        <v>11296</v>
      </c>
      <c r="R31" s="47">
        <v>9305</v>
      </c>
      <c r="S31" s="48">
        <f>SUM(C31:R31)</f>
        <v>3195952</v>
      </c>
      <c r="T31" s="48">
        <f>S31*100/$S$31</f>
        <v>100</v>
      </c>
      <c r="U31" s="47">
        <v>780103</v>
      </c>
      <c r="V31" s="47">
        <v>188092</v>
      </c>
      <c r="W31" s="47">
        <v>0</v>
      </c>
      <c r="X31" s="47">
        <v>33214</v>
      </c>
      <c r="Y31" s="48">
        <f>+S31+U31+V31+W31+X31</f>
        <v>4197361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 t="s">
        <v>170</v>
      </c>
      <c r="C35" s="22"/>
      <c r="D35" s="22"/>
      <c r="E35" s="22"/>
      <c r="F35" s="23"/>
      <c r="G35" s="10"/>
    </row>
    <row r="36" spans="1:25" x14ac:dyDescent="0.25">
      <c r="A36" s="59" t="s">
        <v>56</v>
      </c>
      <c r="B36" s="22" t="s">
        <v>171</v>
      </c>
      <c r="C36" s="22"/>
      <c r="D36" s="22"/>
      <c r="E36" s="22"/>
      <c r="F36" s="23"/>
      <c r="G36" s="10"/>
      <c r="X36" s="81"/>
    </row>
    <row r="37" spans="1:25" x14ac:dyDescent="0.25">
      <c r="A37" s="11" t="s">
        <v>57</v>
      </c>
      <c r="B37" s="38" t="s">
        <v>172</v>
      </c>
      <c r="C37" s="38"/>
      <c r="D37" s="38"/>
      <c r="E37" s="38"/>
      <c r="F37" s="41"/>
      <c r="G37" s="10"/>
    </row>
    <row r="38" spans="1:25" x14ac:dyDescent="0.25">
      <c r="A38" t="s">
        <v>58</v>
      </c>
      <c r="G38" s="10"/>
      <c r="X38" s="81"/>
    </row>
    <row r="39" spans="1:25" ht="18.75" x14ac:dyDescent="0.3">
      <c r="A39" s="60"/>
      <c r="B39" s="61"/>
      <c r="X39" s="81"/>
    </row>
    <row r="40" spans="1:25" ht="18.75" x14ac:dyDescent="0.3">
      <c r="A40" s="60"/>
      <c r="B40" s="61"/>
      <c r="X40" s="8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173</v>
      </c>
      <c r="B43" s="62"/>
      <c r="C43" s="63">
        <v>4197361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  <c r="C45">
        <v>12803</v>
      </c>
      <c r="D45">
        <v>95</v>
      </c>
      <c r="E45">
        <v>17208</v>
      </c>
      <c r="F45">
        <v>75837</v>
      </c>
      <c r="G45">
        <v>143342</v>
      </c>
      <c r="H45">
        <v>70515</v>
      </c>
      <c r="I45">
        <v>0</v>
      </c>
      <c r="J45">
        <v>117048</v>
      </c>
      <c r="K45">
        <v>0</v>
      </c>
      <c r="L45">
        <v>0</v>
      </c>
      <c r="M45">
        <v>0</v>
      </c>
      <c r="N45">
        <v>310353</v>
      </c>
      <c r="O45">
        <v>2428150</v>
      </c>
      <c r="P45">
        <v>0</v>
      </c>
      <c r="Q45">
        <v>11296</v>
      </c>
      <c r="R45">
        <v>9305</v>
      </c>
      <c r="U45">
        <v>780103</v>
      </c>
      <c r="V45">
        <v>188092</v>
      </c>
      <c r="W45">
        <v>0</v>
      </c>
      <c r="X45">
        <v>33214</v>
      </c>
      <c r="Y45">
        <f>SUM(C45:X45)</f>
        <v>4197361</v>
      </c>
    </row>
  </sheetData>
  <mergeCells count="3">
    <mergeCell ref="A1:Z2"/>
    <mergeCell ref="S4:T4"/>
    <mergeCell ref="Y4:Z4"/>
  </mergeCells>
  <pageMargins left="0.28000000000000003" right="0.2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77"/>
  <sheetViews>
    <sheetView zoomScale="90" zoomScaleNormal="90" workbookViewId="0">
      <selection activeCell="L37" sqref="L37"/>
    </sheetView>
  </sheetViews>
  <sheetFormatPr defaultRowHeight="15" x14ac:dyDescent="0.25"/>
  <cols>
    <col min="1" max="1" width="32.28515625" customWidth="1"/>
    <col min="2" max="2" width="6.7109375" customWidth="1"/>
    <col min="3" max="3" width="12.5703125" customWidth="1"/>
    <col min="4" max="5" width="12.7109375" customWidth="1"/>
    <col min="6" max="7" width="10.42578125" customWidth="1"/>
    <col min="8" max="8" width="10.7109375" bestFit="1" customWidth="1"/>
    <col min="9" max="9" width="13.5703125" customWidth="1"/>
    <col min="10" max="10" width="9" bestFit="1" customWidth="1"/>
    <col min="11" max="11" width="9.140625" bestFit="1" customWidth="1"/>
    <col min="12" max="12" width="5.28515625" bestFit="1" customWidth="1"/>
    <col min="13" max="13" width="10.7109375" customWidth="1"/>
    <col min="14" max="14" width="8.140625" bestFit="1" customWidth="1"/>
    <col min="15" max="15" width="9.140625" customWidth="1"/>
    <col min="16" max="16" width="8.85546875" customWidth="1"/>
    <col min="17" max="17" width="9.140625" bestFit="1" customWidth="1"/>
    <col min="18" max="18" width="6.42578125" bestFit="1" customWidth="1"/>
    <col min="19" max="19" width="11" customWidth="1"/>
    <col min="20" max="20" width="6.28515625" customWidth="1"/>
    <col min="21" max="21" width="11" customWidth="1"/>
    <col min="22" max="22" width="9.28515625" customWidth="1"/>
    <col min="23" max="23" width="7" customWidth="1"/>
    <col min="24" max="24" width="10.140625" customWidth="1"/>
    <col min="25" max="25" width="11.140625" customWidth="1"/>
    <col min="26" max="26" width="5.7109375" customWidth="1"/>
    <col min="27" max="27" width="1.85546875" customWidth="1"/>
  </cols>
  <sheetData>
    <row r="1" spans="1:29" ht="15" customHeight="1" x14ac:dyDescent="0.25">
      <c r="A1" s="325" t="s">
        <v>78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ht="1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91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15</v>
      </c>
      <c r="K6" s="19">
        <v>20</v>
      </c>
      <c r="L6" s="19"/>
      <c r="M6" s="19">
        <v>55</v>
      </c>
      <c r="N6" s="19">
        <v>40</v>
      </c>
      <c r="O6" s="19">
        <v>35</v>
      </c>
      <c r="P6" s="19"/>
      <c r="Q6" s="19"/>
      <c r="R6" s="19"/>
      <c r="S6" s="20">
        <f>C6/100*$C$31+D6/100*$D$31+F6/100*$F$31+H6/100*$H$31+I6/100*$I$31+J6/100*$J$31+K6/100*$K$31+L6/100*$L$31+M6/100*$M$31+N6/100*$N$31+O6/100*$O$31+P6/100*$P$31+Q6/100*$Q$31+R6/100*$R$31</f>
        <v>1938533.014375</v>
      </c>
      <c r="T6" s="21">
        <f>S6*100/$S$31</f>
        <v>11.099982452048293</v>
      </c>
      <c r="U6" s="22"/>
      <c r="V6" s="22"/>
      <c r="W6" s="22"/>
      <c r="X6" s="23"/>
      <c r="Y6" s="20">
        <f>U6/100*$U$31+V6/100*$V$31+W6/100*$W$31+X6/100*$X$31+S6</f>
        <v>1938533.014375</v>
      </c>
      <c r="Z6" s="25">
        <f t="shared" ref="Z6:Z28" si="0">Y6*100/$Y$31</f>
        <v>8.3193785921636714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>
        <v>15</v>
      </c>
      <c r="Q7" s="22"/>
      <c r="R7" s="22"/>
      <c r="S7" s="20">
        <f>C7/100*$C$31+D7/100*$D$31+F7/100*$F$31+H7/100*$H$31+I7/100*$I$31+J7/100*$J$31+K7/100*$K$31+L7/100*$L$31+M7/100*$M$31+N7/100*$N$31+O7/100*$O$31+P7/100*$P$31+Q7/100*$Q$31+R7/100*$R$31</f>
        <v>17821.95</v>
      </c>
      <c r="T7" s="21">
        <f>S7*100/$S$31</f>
        <v>0.10204795626091623</v>
      </c>
      <c r="U7" s="22">
        <v>15</v>
      </c>
      <c r="V7" s="22"/>
      <c r="W7" s="22"/>
      <c r="X7" s="23"/>
      <c r="Y7" s="20">
        <f t="shared" ref="Y7:Y29" si="1">U7/100*$U$31+V7/100*$V$31+W7/100*$W$31+X7/100*$X$31+S7</f>
        <v>835745.99999999988</v>
      </c>
      <c r="Z7" s="25">
        <f t="shared" si="0"/>
        <v>3.5866747325570256</v>
      </c>
    </row>
    <row r="8" spans="1:29" x14ac:dyDescent="0.25">
      <c r="A8" s="3" t="s">
        <v>28</v>
      </c>
      <c r="B8" s="27" t="s">
        <v>25</v>
      </c>
      <c r="C8" s="22">
        <v>93</v>
      </c>
      <c r="D8" s="22"/>
      <c r="E8" s="22"/>
      <c r="F8" s="22">
        <v>3</v>
      </c>
      <c r="G8" s="22"/>
      <c r="H8" s="22"/>
      <c r="I8" s="22"/>
      <c r="J8" s="22">
        <v>0</v>
      </c>
      <c r="K8" s="22"/>
      <c r="L8" s="22"/>
      <c r="M8" s="22"/>
      <c r="N8" s="22"/>
      <c r="O8" s="22"/>
      <c r="P8" s="22"/>
      <c r="Q8" s="22"/>
      <c r="R8" s="22"/>
      <c r="S8" s="20">
        <f>C8/100*$C$31+D8/100*$D$31+F8/100*$F$31+H8/100*$H$31+I8/100*$I$31+J8/100*$J$31+K8/100*$K$31+L8/100*$L$31+M8/100*$M$31+N8/100*$N$31+O8/100*$O$31+P8/100*$P$31+Q8/100*$Q$31+R8/100*$R$31</f>
        <v>267542.992875</v>
      </c>
      <c r="T8" s="21">
        <f>S8*100/$S$31</f>
        <v>1.5319432292663049</v>
      </c>
      <c r="U8" s="22"/>
      <c r="V8" s="22"/>
      <c r="W8" s="22"/>
      <c r="X8" s="23"/>
      <c r="Y8" s="20">
        <f t="shared" si="1"/>
        <v>267542.992875</v>
      </c>
      <c r="Z8" s="25">
        <f t="shared" si="0"/>
        <v>1.1481834102914605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>C9/100*$C$31+D9/100*$D$31+E9/100*$E$31+F9/100*$F$31+G9/100*$G$31+H9/100*$H$31+I9/100*$I$31+J9/100*$J$31+K9/100*$K$31+L9/100*$L$31+M9/100*$M$31+N9/100*$N$31+O9/100*$O$31+P9/100*$P$31+Q9/100*$Q$31+R9/100*$R$31</f>
        <v>0</v>
      </c>
      <c r="T9" s="21">
        <f t="shared" ref="T9:T17" si="2">S9*100/$S$31</f>
        <v>0</v>
      </c>
      <c r="U9" s="22"/>
      <c r="V9" s="22"/>
      <c r="W9" s="22"/>
      <c r="X9" s="23"/>
      <c r="Y9" s="20">
        <f t="shared" si="1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ref="S10:S29" si="3">C10/100*$C$31+D10/100*$D$31+E10/100*$E$31+F10/100*$F$31+G10/100*$G$31+H10/100*$H$31+I10/100*$I$31+J10/100*$J$31+K10/100*$K$31+L10/100*$L$31+M10/100*$M$31+N10/100*$N$31+O10/100*$O$31+P10/100*$P$31+Q10/100*$Q$31+R10/100*$R$31</f>
        <v>0</v>
      </c>
      <c r="T10" s="21">
        <f t="shared" si="2"/>
        <v>0</v>
      </c>
      <c r="U10" s="22"/>
      <c r="V10" s="22"/>
      <c r="W10" s="22"/>
      <c r="X10" s="23"/>
      <c r="Y10" s="20">
        <f t="shared" si="1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3"/>
        <v>0</v>
      </c>
      <c r="T11" s="21">
        <f t="shared" si="2"/>
        <v>0</v>
      </c>
      <c r="U11" s="22"/>
      <c r="V11" s="22"/>
      <c r="W11" s="22"/>
      <c r="X11" s="23"/>
      <c r="Y11" s="20">
        <f t="shared" si="1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3"/>
        <v>0</v>
      </c>
      <c r="T12" s="21">
        <f t="shared" si="2"/>
        <v>0</v>
      </c>
      <c r="U12" s="22"/>
      <c r="V12" s="22"/>
      <c r="W12" s="22"/>
      <c r="X12" s="23"/>
      <c r="Y12" s="20">
        <f t="shared" si="1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>
        <v>82</v>
      </c>
      <c r="G13" s="22"/>
      <c r="H13" s="22">
        <v>85</v>
      </c>
      <c r="I13" s="22"/>
      <c r="J13" s="22">
        <v>85</v>
      </c>
      <c r="K13" s="22">
        <v>80</v>
      </c>
      <c r="L13" s="22"/>
      <c r="M13" s="22">
        <v>45</v>
      </c>
      <c r="N13" s="22">
        <v>60</v>
      </c>
      <c r="O13" s="22">
        <v>65</v>
      </c>
      <c r="P13" s="22">
        <v>85</v>
      </c>
      <c r="Q13" s="22">
        <v>100</v>
      </c>
      <c r="R13" s="22"/>
      <c r="S13" s="20">
        <f t="shared" si="3"/>
        <v>5554137.4052499998</v>
      </c>
      <c r="T13" s="21">
        <f t="shared" si="2"/>
        <v>31.802825784948936</v>
      </c>
      <c r="U13" s="22">
        <v>6</v>
      </c>
      <c r="V13" s="22"/>
      <c r="W13" s="22"/>
      <c r="X13" s="23">
        <v>100</v>
      </c>
      <c r="Y13" s="20">
        <f t="shared" si="1"/>
        <v>6265607.0252499999</v>
      </c>
      <c r="Z13" s="25">
        <f t="shared" si="0"/>
        <v>26.889383139848672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>
        <v>2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3"/>
        <v>183084.14474999995</v>
      </c>
      <c r="T14" s="21">
        <f t="shared" si="2"/>
        <v>1.0483343739330011</v>
      </c>
      <c r="U14" s="22"/>
      <c r="V14" s="22"/>
      <c r="W14" s="22"/>
      <c r="X14" s="23"/>
      <c r="Y14" s="20">
        <f t="shared" si="1"/>
        <v>183084.14474999995</v>
      </c>
      <c r="Z14" s="25">
        <f t="shared" si="0"/>
        <v>0.78572111132645317</v>
      </c>
    </row>
    <row r="15" spans="1:29" x14ac:dyDescent="0.25">
      <c r="A15" s="31" t="s">
        <v>35</v>
      </c>
      <c r="B15" s="258" t="s">
        <v>25</v>
      </c>
      <c r="C15" s="22">
        <v>7</v>
      </c>
      <c r="D15" s="22">
        <v>100</v>
      </c>
      <c r="E15" s="22"/>
      <c r="F15" s="22">
        <v>0</v>
      </c>
      <c r="G15" s="22">
        <v>98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3"/>
        <v>9013405.4927499965</v>
      </c>
      <c r="T15" s="21">
        <f t="shared" si="2"/>
        <v>51.610492089028064</v>
      </c>
      <c r="U15" s="22"/>
      <c r="V15" s="33"/>
      <c r="W15" s="22"/>
      <c r="X15" s="23"/>
      <c r="Y15" s="20">
        <f t="shared" si="1"/>
        <v>9013405.4927499965</v>
      </c>
      <c r="Z15" s="25">
        <f t="shared" si="0"/>
        <v>38.681792955200649</v>
      </c>
    </row>
    <row r="16" spans="1:29" x14ac:dyDescent="0.25">
      <c r="A16" s="29" t="s">
        <v>36</v>
      </c>
      <c r="B16" s="72" t="s">
        <v>25</v>
      </c>
      <c r="C16" s="22"/>
      <c r="D16" s="22"/>
      <c r="E16" s="22">
        <v>100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3"/>
        <v>489764</v>
      </c>
      <c r="T16" s="21">
        <f t="shared" si="2"/>
        <v>2.804374114514482</v>
      </c>
      <c r="U16" s="22"/>
      <c r="V16" s="33"/>
      <c r="W16" s="22"/>
      <c r="X16" s="23"/>
      <c r="Y16" s="20">
        <f t="shared" si="1"/>
        <v>489764</v>
      </c>
      <c r="Z16" s="25">
        <f t="shared" si="0"/>
        <v>2.1018636807308195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0">
        <f t="shared" si="3"/>
        <v>0</v>
      </c>
      <c r="T17" s="21">
        <f t="shared" si="2"/>
        <v>0</v>
      </c>
      <c r="U17" s="33"/>
      <c r="V17" s="22"/>
      <c r="W17" s="22"/>
      <c r="X17" s="23"/>
      <c r="Y17" s="20">
        <f t="shared" si="1"/>
        <v>0</v>
      </c>
      <c r="Z17" s="25">
        <f t="shared" si="0"/>
        <v>0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>C18/100*$C$31+D18/100*$D$31+E18/100*$E$31+F18/100*$F$31+G18/100*$G$31+H18/100*$H$31+I18/100*$I$31+J18/100*$J$31+K18/100*$K$31+L18/100*$L$31+M18/100*$M$31+N18/100*$N$31+O18/100*$O$31+P18/100*$P$31+Q18/100*$Q$31+R18/100*$R$31</f>
        <v>0</v>
      </c>
      <c r="T18" s="21">
        <f>S18*100/$S$31</f>
        <v>0</v>
      </c>
      <c r="U18" s="33">
        <v>4</v>
      </c>
      <c r="V18" s="22"/>
      <c r="W18" s="22"/>
      <c r="X18" s="23"/>
      <c r="Y18" s="20">
        <f t="shared" si="1"/>
        <v>218113.08000000002</v>
      </c>
      <c r="Z18" s="25">
        <f t="shared" si="0"/>
        <v>0.93605075331044274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3"/>
        <v>0</v>
      </c>
      <c r="T19" s="21">
        <f t="shared" ref="T19:T29" si="4">S19*100/$S$31</f>
        <v>0</v>
      </c>
      <c r="U19" s="33">
        <v>15</v>
      </c>
      <c r="V19" s="22"/>
      <c r="W19" s="22"/>
      <c r="X19" s="23"/>
      <c r="Y19" s="20">
        <f t="shared" si="1"/>
        <v>817924.04999999993</v>
      </c>
      <c r="Z19" s="25">
        <f t="shared" si="0"/>
        <v>3.5101903249141602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3"/>
        <v>0</v>
      </c>
      <c r="T20" s="21">
        <f t="shared" si="4"/>
        <v>0</v>
      </c>
      <c r="U20" s="33">
        <v>22</v>
      </c>
      <c r="V20" s="22"/>
      <c r="W20" s="22"/>
      <c r="X20" s="23"/>
      <c r="Y20" s="20">
        <f t="shared" si="1"/>
        <v>1199621.94</v>
      </c>
      <c r="Z20" s="25">
        <f t="shared" si="0"/>
        <v>5.1482791432074348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3"/>
        <v>0</v>
      </c>
      <c r="T21" s="21">
        <f t="shared" si="4"/>
        <v>0</v>
      </c>
      <c r="U21" s="33"/>
      <c r="V21" s="22"/>
      <c r="W21" s="22"/>
      <c r="X21" s="23"/>
      <c r="Y21" s="20">
        <f t="shared" si="1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3"/>
        <v>0</v>
      </c>
      <c r="T22" s="21">
        <f t="shared" si="4"/>
        <v>0</v>
      </c>
      <c r="U22" s="33">
        <v>9</v>
      </c>
      <c r="V22" s="22"/>
      <c r="W22" s="22"/>
      <c r="X22" s="23"/>
      <c r="Y22" s="20">
        <f t="shared" si="1"/>
        <v>490754.43</v>
      </c>
      <c r="Z22" s="25">
        <f t="shared" si="0"/>
        <v>2.1061141949484963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3"/>
        <v>0</v>
      </c>
      <c r="T23" s="21">
        <f t="shared" si="4"/>
        <v>0</v>
      </c>
      <c r="U23" s="77">
        <v>12</v>
      </c>
      <c r="V23" s="22"/>
      <c r="W23" s="22"/>
      <c r="X23" s="23"/>
      <c r="Y23" s="20">
        <f t="shared" si="1"/>
        <v>654339.24</v>
      </c>
      <c r="Z23" s="25">
        <f t="shared" si="0"/>
        <v>2.8081522599313282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3"/>
        <v>0</v>
      </c>
      <c r="T24" s="21">
        <f t="shared" si="4"/>
        <v>0</v>
      </c>
      <c r="U24" s="22">
        <v>4</v>
      </c>
      <c r="V24" s="22"/>
      <c r="W24" s="22"/>
      <c r="X24" s="23"/>
      <c r="Y24" s="20">
        <f t="shared" si="1"/>
        <v>218113.08000000002</v>
      </c>
      <c r="Z24" s="25">
        <f t="shared" si="0"/>
        <v>0.93605075331044274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3"/>
        <v>0</v>
      </c>
      <c r="T25" s="21">
        <f t="shared" si="4"/>
        <v>0</v>
      </c>
      <c r="U25" s="33">
        <v>4</v>
      </c>
      <c r="V25" s="22"/>
      <c r="W25" s="22"/>
      <c r="X25" s="23"/>
      <c r="Y25" s="20">
        <f t="shared" si="1"/>
        <v>218113.08000000002</v>
      </c>
      <c r="Z25" s="25">
        <f t="shared" si="0"/>
        <v>0.93605075331044274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3"/>
        <v>0</v>
      </c>
      <c r="T26" s="21">
        <f t="shared" si="4"/>
        <v>0</v>
      </c>
      <c r="U26" s="22">
        <v>1</v>
      </c>
      <c r="V26" s="22"/>
      <c r="W26" s="22"/>
      <c r="X26" s="23"/>
      <c r="Y26" s="20">
        <f t="shared" si="1"/>
        <v>54528.270000000004</v>
      </c>
      <c r="Z26" s="25">
        <f t="shared" si="0"/>
        <v>0.23401268832761069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3"/>
        <v>0</v>
      </c>
      <c r="T27" s="21">
        <f t="shared" si="4"/>
        <v>0</v>
      </c>
      <c r="U27" s="33">
        <v>6</v>
      </c>
      <c r="V27" s="22"/>
      <c r="W27" s="22"/>
      <c r="X27" s="23"/>
      <c r="Y27" s="20">
        <f t="shared" si="1"/>
        <v>327169.62</v>
      </c>
      <c r="Z27" s="25">
        <f t="shared" si="0"/>
        <v>1.4040761299656641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3"/>
        <v>0</v>
      </c>
      <c r="T28" s="21">
        <f t="shared" si="4"/>
        <v>0</v>
      </c>
      <c r="U28" s="33">
        <v>2</v>
      </c>
      <c r="V28" s="22"/>
      <c r="W28" s="22"/>
      <c r="X28" s="23"/>
      <c r="Y28" s="20">
        <f t="shared" si="1"/>
        <v>109056.54000000001</v>
      </c>
      <c r="Z28" s="25">
        <f t="shared" si="0"/>
        <v>0.46802537665522137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3"/>
        <v>0</v>
      </c>
      <c r="T29" s="40">
        <f t="shared" si="4"/>
        <v>0</v>
      </c>
      <c r="U29" s="38"/>
      <c r="V29" s="38"/>
      <c r="W29" s="38"/>
      <c r="X29" s="41"/>
      <c r="Y29" s="39">
        <f t="shared" si="1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100</v>
      </c>
      <c r="L30" s="44">
        <f t="shared" si="5"/>
        <v>0</v>
      </c>
      <c r="M30" s="44">
        <f t="shared" si="5"/>
        <v>100</v>
      </c>
      <c r="N30" s="44">
        <f t="shared" si="5"/>
        <v>100</v>
      </c>
      <c r="O30" s="44">
        <f t="shared" si="5"/>
        <v>100</v>
      </c>
      <c r="P30" s="44">
        <f t="shared" si="5"/>
        <v>100</v>
      </c>
      <c r="Q30" s="44">
        <f t="shared" si="5"/>
        <v>100</v>
      </c>
      <c r="R30" s="44">
        <f t="shared" si="5"/>
        <v>0</v>
      </c>
      <c r="S30" s="20">
        <f>+SUM(S6:S29)</f>
        <v>17464288.999999996</v>
      </c>
      <c r="T30" s="20">
        <f>+SUM(T6:T29)</f>
        <v>100.00000000000001</v>
      </c>
      <c r="U30" s="44">
        <f>SUM(U6:U29)</f>
        <v>100</v>
      </c>
      <c r="V30" s="44">
        <f t="shared" ref="V30" si="6">SUM(V6:V29)</f>
        <v>0</v>
      </c>
      <c r="W30" s="44">
        <f>SUM(W6:W29)</f>
        <v>0</v>
      </c>
      <c r="X30" s="44">
        <f>SUM(X6:X29)</f>
        <v>100</v>
      </c>
      <c r="Y30" s="39">
        <f>SUM(Y6:Y29)</f>
        <v>23301415.999999989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136620</v>
      </c>
      <c r="D31" s="92">
        <v>32719</v>
      </c>
      <c r="E31" s="92">
        <v>489764</v>
      </c>
      <c r="F31" s="92">
        <v>4682879.7625000002</v>
      </c>
      <c r="G31" s="92">
        <v>9154207.237499997</v>
      </c>
      <c r="H31" s="47">
        <v>16013</v>
      </c>
      <c r="I31" s="47">
        <v>0</v>
      </c>
      <c r="J31" s="47">
        <v>7310</v>
      </c>
      <c r="K31" s="47">
        <v>530864</v>
      </c>
      <c r="L31" s="47">
        <v>0</v>
      </c>
      <c r="M31" s="47">
        <v>1927665</v>
      </c>
      <c r="N31" s="47">
        <v>26880</v>
      </c>
      <c r="O31" s="47">
        <v>158463</v>
      </c>
      <c r="P31" s="47">
        <v>118813</v>
      </c>
      <c r="Q31" s="47">
        <v>182091</v>
      </c>
      <c r="R31" s="47">
        <v>0</v>
      </c>
      <c r="S31" s="48">
        <f>SUM(C31:R31)</f>
        <v>17464288.999999996</v>
      </c>
      <c r="T31" s="48">
        <f>S31*100/$S$31</f>
        <v>100</v>
      </c>
      <c r="U31" s="47">
        <v>5452827</v>
      </c>
      <c r="V31" s="47">
        <v>0</v>
      </c>
      <c r="W31" s="47">
        <v>0</v>
      </c>
      <c r="X31" s="47">
        <v>384300</v>
      </c>
      <c r="Y31" s="48">
        <f>+S31+U31+V31+W31+X31</f>
        <v>23301415.999999996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9" x14ac:dyDescent="0.25">
      <c r="A33" s="55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80"/>
      <c r="Y33" s="81"/>
    </row>
    <row r="34" spans="1:29" x14ac:dyDescent="0.25">
      <c r="A34" s="56" t="s">
        <v>53</v>
      </c>
      <c r="B34" s="57"/>
      <c r="C34" s="57"/>
      <c r="D34" s="57"/>
      <c r="E34" s="57"/>
      <c r="F34" s="58"/>
      <c r="G34" s="10"/>
      <c r="X34" s="79"/>
    </row>
    <row r="35" spans="1:29" x14ac:dyDescent="0.25">
      <c r="A35" s="59" t="s">
        <v>54</v>
      </c>
      <c r="B35" s="22"/>
      <c r="C35" s="22"/>
      <c r="D35" s="22"/>
      <c r="E35" s="22"/>
      <c r="F35" s="23"/>
      <c r="G35" s="10"/>
      <c r="H35" s="81"/>
      <c r="I35" s="81"/>
      <c r="J35" s="81"/>
      <c r="X35" s="82"/>
    </row>
    <row r="36" spans="1:29" x14ac:dyDescent="0.25">
      <c r="A36" s="59" t="s">
        <v>56</v>
      </c>
      <c r="B36" s="22"/>
      <c r="C36" s="22"/>
      <c r="D36" s="22"/>
      <c r="E36" s="22"/>
      <c r="F36" s="23"/>
      <c r="G36" s="10"/>
      <c r="H36" s="81"/>
      <c r="X36" s="79"/>
    </row>
    <row r="37" spans="1:29" x14ac:dyDescent="0.25">
      <c r="A37" s="11" t="s">
        <v>57</v>
      </c>
      <c r="B37" s="38"/>
      <c r="C37" s="38"/>
      <c r="D37" s="38"/>
      <c r="E37" s="38"/>
      <c r="F37" s="41"/>
      <c r="G37" s="10"/>
      <c r="H37" s="81"/>
      <c r="X37" s="79"/>
    </row>
    <row r="38" spans="1:29" x14ac:dyDescent="0.25">
      <c r="A38" t="s">
        <v>58</v>
      </c>
      <c r="G38" s="73"/>
      <c r="H38" s="81"/>
      <c r="X38" s="79"/>
    </row>
    <row r="39" spans="1:29" ht="18.75" x14ac:dyDescent="0.3">
      <c r="A39" s="60"/>
      <c r="B39" s="83"/>
      <c r="C39" s="10"/>
      <c r="D39" s="84"/>
      <c r="E39" s="84"/>
      <c r="F39" s="84"/>
      <c r="G39" s="84"/>
      <c r="H39" s="85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10"/>
      <c r="AC39" s="10"/>
    </row>
    <row r="40" spans="1:29" ht="18.75" x14ac:dyDescent="0.3">
      <c r="A40" s="60"/>
      <c r="B40" s="83"/>
      <c r="C40" s="10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10"/>
      <c r="AC40" s="10"/>
    </row>
    <row r="41" spans="1:29" ht="18.75" x14ac:dyDescent="0.3">
      <c r="A41" s="60"/>
      <c r="B41" s="61"/>
      <c r="C41" s="89"/>
      <c r="D41" s="90"/>
      <c r="E41" s="89"/>
      <c r="F41" s="9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9" ht="18.75" x14ac:dyDescent="0.3">
      <c r="A42" s="60"/>
      <c r="B42" s="61"/>
      <c r="G42" s="79"/>
      <c r="H42" s="81"/>
    </row>
    <row r="43" spans="1:29" ht="18.75" x14ac:dyDescent="0.3">
      <c r="A43" s="60"/>
      <c r="G43" s="81"/>
    </row>
    <row r="44" spans="1:29" x14ac:dyDescent="0.25">
      <c r="G44" s="81"/>
    </row>
    <row r="45" spans="1:29" x14ac:dyDescent="0.25">
      <c r="D45" s="79"/>
      <c r="E45" s="79"/>
    </row>
    <row r="46" spans="1:29" x14ac:dyDescent="0.25">
      <c r="D46" s="79"/>
      <c r="E46" s="79"/>
    </row>
    <row r="47" spans="1:29" x14ac:dyDescent="0.25">
      <c r="D47" s="79"/>
      <c r="E47" s="79"/>
    </row>
    <row r="48" spans="1:29" x14ac:dyDescent="0.25">
      <c r="D48" s="79"/>
      <c r="E48" s="79"/>
    </row>
    <row r="49" spans="4:11" x14ac:dyDescent="0.25">
      <c r="D49" s="79"/>
      <c r="E49" s="79"/>
      <c r="F49" s="81"/>
      <c r="G49" s="81"/>
    </row>
    <row r="50" spans="4:11" x14ac:dyDescent="0.25">
      <c r="D50" s="79"/>
      <c r="E50" s="79"/>
    </row>
    <row r="51" spans="4:11" x14ac:dyDescent="0.25">
      <c r="D51" s="79"/>
      <c r="E51" s="79"/>
    </row>
    <row r="52" spans="4:11" x14ac:dyDescent="0.25">
      <c r="D52" s="79"/>
      <c r="E52" s="79"/>
    </row>
    <row r="53" spans="4:11" x14ac:dyDescent="0.25">
      <c r="D53" s="79"/>
      <c r="E53" s="79"/>
    </row>
    <row r="54" spans="4:11" x14ac:dyDescent="0.25">
      <c r="D54" s="79"/>
      <c r="E54" s="79"/>
      <c r="F54" s="79"/>
      <c r="G54" s="79"/>
      <c r="K54" s="79"/>
    </row>
    <row r="55" spans="4:11" x14ac:dyDescent="0.25">
      <c r="D55" s="79"/>
      <c r="E55" s="79"/>
      <c r="F55" s="79"/>
      <c r="G55" s="79"/>
      <c r="K55" s="79"/>
    </row>
    <row r="56" spans="4:11" x14ac:dyDescent="0.25">
      <c r="D56" s="79"/>
      <c r="E56" s="79"/>
      <c r="F56" s="79"/>
      <c r="G56" s="79"/>
      <c r="K56" s="79"/>
    </row>
    <row r="57" spans="4:11" x14ac:dyDescent="0.25">
      <c r="D57" s="79"/>
      <c r="E57" s="79"/>
      <c r="F57" s="79"/>
      <c r="G57" s="79"/>
      <c r="K57" s="79"/>
    </row>
    <row r="58" spans="4:11" x14ac:dyDescent="0.25">
      <c r="D58" s="79"/>
      <c r="E58" s="79"/>
      <c r="F58" s="79"/>
      <c r="G58" s="79"/>
      <c r="K58" s="79"/>
    </row>
    <row r="59" spans="4:11" x14ac:dyDescent="0.25">
      <c r="D59" s="79"/>
      <c r="E59" s="79"/>
      <c r="F59" s="79"/>
      <c r="G59" s="79"/>
      <c r="I59" s="81"/>
      <c r="K59" s="79"/>
    </row>
    <row r="60" spans="4:11" x14ac:dyDescent="0.25">
      <c r="D60" s="79"/>
      <c r="E60" s="79"/>
      <c r="F60" s="79"/>
      <c r="G60" s="79"/>
      <c r="K60" s="79"/>
    </row>
    <row r="61" spans="4:11" x14ac:dyDescent="0.25">
      <c r="D61" s="79"/>
      <c r="E61" s="79"/>
      <c r="F61" s="79"/>
      <c r="G61" s="79"/>
      <c r="H61" s="81"/>
      <c r="K61" s="79"/>
    </row>
    <row r="62" spans="4:11" x14ac:dyDescent="0.25">
      <c r="D62" s="79"/>
      <c r="E62" s="79"/>
      <c r="F62" s="79"/>
      <c r="G62" s="79"/>
      <c r="H62" s="81"/>
      <c r="I62" s="79"/>
      <c r="J62" s="79"/>
      <c r="K62" s="79"/>
    </row>
    <row r="65" spans="4:7" x14ac:dyDescent="0.25">
      <c r="D65" s="82"/>
    </row>
    <row r="66" spans="4:7" x14ac:dyDescent="0.25">
      <c r="D66" s="82"/>
    </row>
    <row r="67" spans="4:7" x14ac:dyDescent="0.25">
      <c r="D67" s="82"/>
    </row>
    <row r="68" spans="4:7" x14ac:dyDescent="0.25">
      <c r="D68" s="79"/>
    </row>
    <row r="69" spans="4:7" x14ac:dyDescent="0.25">
      <c r="D69" s="79"/>
    </row>
    <row r="70" spans="4:7" x14ac:dyDescent="0.25">
      <c r="D70" s="79"/>
    </row>
    <row r="73" spans="4:7" x14ac:dyDescent="0.25">
      <c r="G73" s="79"/>
    </row>
    <row r="74" spans="4:7" x14ac:dyDescent="0.25">
      <c r="G74" s="79"/>
    </row>
    <row r="75" spans="4:7" x14ac:dyDescent="0.25">
      <c r="G75" s="79"/>
    </row>
    <row r="76" spans="4:7" x14ac:dyDescent="0.25">
      <c r="G76" s="79"/>
    </row>
    <row r="77" spans="4:7" x14ac:dyDescent="0.25">
      <c r="G77" s="79"/>
    </row>
  </sheetData>
  <mergeCells count="3">
    <mergeCell ref="A1:Z2"/>
    <mergeCell ref="S4:T4"/>
    <mergeCell ref="Y4:Z4"/>
  </mergeCells>
  <pageMargins left="0.21" right="0.19685039370078741" top="0.74803149606299213" bottom="0.74803149606299213" header="0.31496062992125984" footer="0.31496062992125984"/>
  <pageSetup paperSize="9" scale="5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C45"/>
  <sheetViews>
    <sheetView zoomScale="90" zoomScaleNormal="90" workbookViewId="0">
      <selection activeCell="U6" sqref="U6:X29"/>
    </sheetView>
  </sheetViews>
  <sheetFormatPr defaultRowHeight="15" x14ac:dyDescent="0.25"/>
  <cols>
    <col min="1" max="1" width="33.28515625" customWidth="1"/>
    <col min="2" max="2" width="6.7109375" customWidth="1"/>
    <col min="3" max="3" width="8.140625" customWidth="1"/>
    <col min="4" max="5" width="12.5703125" customWidth="1"/>
    <col min="6" max="6" width="10.140625" customWidth="1"/>
    <col min="7" max="7" width="8.28515625" customWidth="1"/>
    <col min="8" max="8" width="8" customWidth="1"/>
    <col min="9" max="9" width="11" customWidth="1"/>
    <col min="10" max="10" width="10.7109375" customWidth="1"/>
    <col min="11" max="11" width="6.42578125" customWidth="1"/>
    <col min="12" max="12" width="6.28515625" customWidth="1"/>
    <col min="13" max="13" width="6.7109375" customWidth="1"/>
    <col min="14" max="14" width="9.140625" customWidth="1"/>
    <col min="15" max="15" width="11.85546875" customWidth="1"/>
    <col min="16" max="16" width="7.5703125" customWidth="1"/>
    <col min="17" max="18" width="7.7109375" customWidth="1"/>
    <col min="19" max="19" width="10" customWidth="1"/>
    <col min="20" max="20" width="7.140625" customWidth="1"/>
    <col min="21" max="21" width="9.42578125" customWidth="1"/>
    <col min="22" max="22" width="10.7109375" customWidth="1"/>
    <col min="23" max="23" width="8.85546875" customWidth="1"/>
    <col min="24" max="24" width="11.85546875" customWidth="1"/>
    <col min="25" max="25" width="10.42578125" customWidth="1"/>
    <col min="26" max="26" width="6.28515625" customWidth="1"/>
    <col min="27" max="27" width="1.85546875" customWidth="1"/>
  </cols>
  <sheetData>
    <row r="1" spans="1:29" ht="15" customHeight="1" x14ac:dyDescent="0.25">
      <c r="A1" s="325" t="s">
        <v>99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22" t="s">
        <v>1</v>
      </c>
      <c r="C4" s="122" t="s">
        <v>2</v>
      </c>
      <c r="D4" s="5" t="s">
        <v>3</v>
      </c>
      <c r="E4" s="5" t="s">
        <v>4</v>
      </c>
      <c r="F4" s="5" t="s">
        <v>102</v>
      </c>
      <c r="G4" s="123" t="s">
        <v>6</v>
      </c>
      <c r="H4" s="123" t="s">
        <v>7</v>
      </c>
      <c r="I4" s="5" t="s">
        <v>101</v>
      </c>
      <c r="J4" s="123" t="s">
        <v>9</v>
      </c>
      <c r="K4" s="123" t="s">
        <v>10</v>
      </c>
      <c r="L4" s="123" t="s">
        <v>11</v>
      </c>
      <c r="M4" s="123" t="s">
        <v>12</v>
      </c>
      <c r="N4" s="123" t="s">
        <v>13</v>
      </c>
      <c r="O4" s="123" t="s">
        <v>14</v>
      </c>
      <c r="P4" s="123" t="s">
        <v>15</v>
      </c>
      <c r="Q4" s="123" t="s">
        <v>16</v>
      </c>
      <c r="R4" s="123" t="s">
        <v>17</v>
      </c>
      <c r="S4" s="327" t="s">
        <v>18</v>
      </c>
      <c r="T4" s="328"/>
      <c r="U4" s="122" t="s">
        <v>19</v>
      </c>
      <c r="V4" s="123" t="s">
        <v>20</v>
      </c>
      <c r="W4" s="7" t="s">
        <v>21</v>
      </c>
      <c r="X4" s="7" t="s">
        <v>22</v>
      </c>
      <c r="Y4" s="329" t="s">
        <v>23</v>
      </c>
      <c r="Z4" s="330"/>
      <c r="AA4" s="119"/>
      <c r="AB4" s="119"/>
      <c r="AC4" s="11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0" t="s">
        <v>25</v>
      </c>
      <c r="U5" s="120" t="s">
        <v>25</v>
      </c>
      <c r="V5" s="120" t="s">
        <v>25</v>
      </c>
      <c r="W5" s="120" t="s">
        <v>25</v>
      </c>
      <c r="X5" s="120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33"/>
      <c r="D6" s="133"/>
      <c r="E6" s="133"/>
      <c r="F6" s="133">
        <v>9.4649241179101526</v>
      </c>
      <c r="G6" s="133"/>
      <c r="H6" s="133">
        <v>9.4649241179101526</v>
      </c>
      <c r="I6" s="133"/>
      <c r="J6" s="133">
        <v>9.4649241179101526</v>
      </c>
      <c r="K6" s="133"/>
      <c r="L6" s="133"/>
      <c r="M6" s="133"/>
      <c r="N6" s="133">
        <v>9.4649241179101526</v>
      </c>
      <c r="O6" s="133">
        <v>30</v>
      </c>
      <c r="P6" s="133"/>
      <c r="Q6" s="133">
        <v>30</v>
      </c>
      <c r="R6" s="133">
        <v>30</v>
      </c>
      <c r="S6" s="20">
        <f>C6/100*$C$31+D6/100*$D$31+E6/100*$E$31+F6/100*$F$31+G6/100*$G$31+H6/100*$H$31+I6/100*$I$31+J6/100*$J$31+K6/100*$K$31+L6/100*$L$31+M6/100*$M$31+N6/100*$N$31+O6/100*$O$31+P6/100*$P$31+Q6/100*$Q$31+R6/100*$R$31</f>
        <v>182098.74365353541</v>
      </c>
      <c r="T6" s="21">
        <f>S6*100/$S$31</f>
        <v>9.1995406590440485</v>
      </c>
      <c r="U6" s="134"/>
      <c r="V6" s="134"/>
      <c r="W6" s="134"/>
      <c r="X6" s="135"/>
      <c r="Y6" s="24">
        <f>U6/100*$U$31+V6/100*$V$31+W6/100*$W$31+X6/100*$X$31+S6</f>
        <v>182098.74365353541</v>
      </c>
      <c r="Z6" s="25">
        <f t="shared" ref="Z6:Z29" si="0">Y6*100/$Y$31</f>
        <v>6.7872986683062422</v>
      </c>
    </row>
    <row r="7" spans="1:29" x14ac:dyDescent="0.25">
      <c r="A7" s="26" t="s">
        <v>27</v>
      </c>
      <c r="B7" s="18" t="s">
        <v>25</v>
      </c>
      <c r="C7" s="134"/>
      <c r="D7" s="134"/>
      <c r="E7" s="134"/>
      <c r="F7" s="134">
        <v>2.7496949303500622</v>
      </c>
      <c r="G7" s="134"/>
      <c r="H7" s="134">
        <v>2.7496949303500622</v>
      </c>
      <c r="I7" s="134"/>
      <c r="J7" s="134">
        <v>2.7496949303500622</v>
      </c>
      <c r="K7" s="134"/>
      <c r="L7" s="134"/>
      <c r="M7" s="134"/>
      <c r="N7" s="134">
        <v>2.7496949303500622</v>
      </c>
      <c r="O7" s="134"/>
      <c r="P7" s="134"/>
      <c r="Q7" s="134"/>
      <c r="R7" s="134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52319.820287235809</v>
      </c>
      <c r="T7" s="21">
        <f t="shared" ref="T7:T29" si="2">S7*100/$S$31</f>
        <v>2.6431720743887674</v>
      </c>
      <c r="U7" s="134"/>
      <c r="V7" s="134"/>
      <c r="W7" s="134"/>
      <c r="X7" s="135"/>
      <c r="Y7" s="20">
        <f t="shared" ref="Y7:Y29" si="3">U7/100*$U$31+V7/100*$V$31+W7/100*$W$31+X7/100*$X$31+S7</f>
        <v>52319.820287235809</v>
      </c>
      <c r="Z7" s="25">
        <f t="shared" si="0"/>
        <v>1.9500971804463252</v>
      </c>
    </row>
    <row r="8" spans="1:29" x14ac:dyDescent="0.25">
      <c r="A8" s="3" t="s">
        <v>28</v>
      </c>
      <c r="B8" s="27" t="s">
        <v>25</v>
      </c>
      <c r="C8" s="134"/>
      <c r="D8" s="134"/>
      <c r="E8" s="134"/>
      <c r="F8" s="134">
        <v>81.450415775096488</v>
      </c>
      <c r="G8" s="134"/>
      <c r="H8" s="134">
        <v>81.450415775096488</v>
      </c>
      <c r="I8" s="134"/>
      <c r="J8" s="134">
        <v>81.450415775096488</v>
      </c>
      <c r="K8" s="134"/>
      <c r="L8" s="134"/>
      <c r="M8" s="134"/>
      <c r="N8" s="134">
        <v>81.450415775096488</v>
      </c>
      <c r="O8" s="134"/>
      <c r="P8" s="134"/>
      <c r="Q8" s="134"/>
      <c r="R8" s="134"/>
      <c r="S8" s="20">
        <f t="shared" si="1"/>
        <v>1549797.7861606483</v>
      </c>
      <c r="T8" s="21">
        <f t="shared" si="2"/>
        <v>78.295036313967103</v>
      </c>
      <c r="U8" s="134"/>
      <c r="V8" s="134"/>
      <c r="W8" s="134"/>
      <c r="X8" s="135"/>
      <c r="Y8" s="20">
        <f t="shared" si="3"/>
        <v>1549797.7861606483</v>
      </c>
      <c r="Z8" s="25">
        <f t="shared" si="0"/>
        <v>57.765035821255701</v>
      </c>
    </row>
    <row r="9" spans="1:29" x14ac:dyDescent="0.25">
      <c r="A9" s="3" t="s">
        <v>29</v>
      </c>
      <c r="B9" s="27" t="s">
        <v>25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20">
        <f t="shared" si="1"/>
        <v>0</v>
      </c>
      <c r="T9" s="21">
        <f t="shared" si="2"/>
        <v>0</v>
      </c>
      <c r="U9" s="134"/>
      <c r="V9" s="134"/>
      <c r="W9" s="134"/>
      <c r="X9" s="135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20">
        <f t="shared" si="1"/>
        <v>0</v>
      </c>
      <c r="T10" s="21">
        <f t="shared" si="2"/>
        <v>0</v>
      </c>
      <c r="U10" s="134"/>
      <c r="V10" s="134"/>
      <c r="W10" s="134"/>
      <c r="X10" s="135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20">
        <f t="shared" si="1"/>
        <v>0</v>
      </c>
      <c r="T11" s="21">
        <f t="shared" si="2"/>
        <v>0</v>
      </c>
      <c r="U11" s="134"/>
      <c r="V11" s="134"/>
      <c r="W11" s="134"/>
      <c r="X11" s="135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20">
        <f t="shared" si="1"/>
        <v>0</v>
      </c>
      <c r="T12" s="21">
        <f t="shared" si="2"/>
        <v>0</v>
      </c>
      <c r="U12" s="134"/>
      <c r="V12" s="134"/>
      <c r="W12" s="134"/>
      <c r="X12" s="135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20">
        <f t="shared" si="1"/>
        <v>0</v>
      </c>
      <c r="T13" s="21">
        <f t="shared" si="2"/>
        <v>0</v>
      </c>
      <c r="U13" s="134"/>
      <c r="V13" s="134"/>
      <c r="W13" s="134"/>
      <c r="X13" s="135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20">
        <f t="shared" si="1"/>
        <v>0</v>
      </c>
      <c r="T14" s="21">
        <f t="shared" si="2"/>
        <v>0</v>
      </c>
      <c r="U14" s="134"/>
      <c r="V14" s="134"/>
      <c r="W14" s="134"/>
      <c r="X14" s="135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136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20">
        <f t="shared" si="1"/>
        <v>0</v>
      </c>
      <c r="T15" s="21">
        <f t="shared" si="2"/>
        <v>0</v>
      </c>
      <c r="U15" s="134"/>
      <c r="V15" s="134"/>
      <c r="W15" s="134"/>
      <c r="X15" s="135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134">
        <v>100</v>
      </c>
      <c r="D16" s="134">
        <v>100</v>
      </c>
      <c r="E16" s="134">
        <v>100</v>
      </c>
      <c r="F16" s="134"/>
      <c r="G16" s="134">
        <v>100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20">
        <f t="shared" si="1"/>
        <v>70000</v>
      </c>
      <c r="T16" s="21">
        <f t="shared" si="2"/>
        <v>3.5363662220443937</v>
      </c>
      <c r="U16" s="134"/>
      <c r="V16" s="134"/>
      <c r="W16" s="134"/>
      <c r="X16" s="135"/>
      <c r="Y16" s="20">
        <f t="shared" si="3"/>
        <v>70000</v>
      </c>
      <c r="Z16" s="25">
        <f t="shared" si="0"/>
        <v>2.6090839357211171</v>
      </c>
    </row>
    <row r="17" spans="1:27" x14ac:dyDescent="0.25">
      <c r="A17" s="34" t="s">
        <v>37</v>
      </c>
      <c r="B17" s="14" t="s">
        <v>25</v>
      </c>
      <c r="C17" s="134"/>
      <c r="D17" s="134"/>
      <c r="E17" s="134"/>
      <c r="F17" s="134">
        <v>6.3349651766433048</v>
      </c>
      <c r="G17" s="134"/>
      <c r="H17" s="134">
        <v>6.3349651766433048</v>
      </c>
      <c r="I17" s="134"/>
      <c r="J17" s="134">
        <v>6.3349651766433048</v>
      </c>
      <c r="K17" s="134"/>
      <c r="L17" s="134"/>
      <c r="M17" s="134"/>
      <c r="N17" s="134">
        <v>6.3349651766433048</v>
      </c>
      <c r="O17" s="134">
        <v>70</v>
      </c>
      <c r="P17" s="134"/>
      <c r="Q17" s="134">
        <v>70</v>
      </c>
      <c r="R17" s="134">
        <v>70</v>
      </c>
      <c r="S17" s="20">
        <f t="shared" si="1"/>
        <v>125216.64989858048</v>
      </c>
      <c r="T17" s="21">
        <f t="shared" si="2"/>
        <v>6.3258847305556936</v>
      </c>
      <c r="U17" s="134">
        <v>9.2652047068290652E-2</v>
      </c>
      <c r="V17" s="134">
        <v>100</v>
      </c>
      <c r="W17" s="134"/>
      <c r="X17" s="135">
        <v>100</v>
      </c>
      <c r="Y17" s="20">
        <f t="shared" si="3"/>
        <v>215956.91177234397</v>
      </c>
      <c r="Z17" s="25">
        <f t="shared" si="0"/>
        <v>8.0492815616166471</v>
      </c>
    </row>
    <row r="18" spans="1:27" x14ac:dyDescent="0.25">
      <c r="A18" s="35" t="s">
        <v>38</v>
      </c>
      <c r="B18" s="124" t="s">
        <v>25</v>
      </c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20">
        <f t="shared" si="1"/>
        <v>0</v>
      </c>
      <c r="T18" s="21">
        <f t="shared" si="2"/>
        <v>0</v>
      </c>
      <c r="U18" s="134"/>
      <c r="V18" s="134"/>
      <c r="W18" s="134"/>
      <c r="X18" s="135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20">
        <f t="shared" si="1"/>
        <v>0</v>
      </c>
      <c r="T19" s="21">
        <f t="shared" si="2"/>
        <v>0</v>
      </c>
      <c r="U19" s="134">
        <v>5.8231458747788194</v>
      </c>
      <c r="V19" s="134"/>
      <c r="W19" s="134"/>
      <c r="X19" s="135"/>
      <c r="Y19" s="20">
        <f t="shared" si="3"/>
        <v>35715.042362322187</v>
      </c>
      <c r="Z19" s="25">
        <f t="shared" si="0"/>
        <v>1.3311934755876287</v>
      </c>
    </row>
    <row r="20" spans="1:27" x14ac:dyDescent="0.25">
      <c r="A20" s="3" t="s">
        <v>40</v>
      </c>
      <c r="B20" s="27" t="s">
        <v>25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20">
        <f t="shared" si="1"/>
        <v>0</v>
      </c>
      <c r="T20" s="21">
        <f t="shared" si="2"/>
        <v>0</v>
      </c>
      <c r="U20" s="134">
        <v>32.092611506824312</v>
      </c>
      <c r="V20" s="134"/>
      <c r="W20" s="134"/>
      <c r="X20" s="135"/>
      <c r="Y20" s="20">
        <f t="shared" si="3"/>
        <v>196833.29322869051</v>
      </c>
      <c r="Z20" s="25">
        <f t="shared" si="0"/>
        <v>7.3364940482580083</v>
      </c>
    </row>
    <row r="21" spans="1:27" x14ac:dyDescent="0.25">
      <c r="A21" s="3" t="s">
        <v>41</v>
      </c>
      <c r="B21" s="27" t="s">
        <v>25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20">
        <f t="shared" si="1"/>
        <v>0</v>
      </c>
      <c r="T21" s="21">
        <f t="shared" si="2"/>
        <v>0</v>
      </c>
      <c r="U21" s="134"/>
      <c r="V21" s="134"/>
      <c r="W21" s="134"/>
      <c r="X21" s="135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20">
        <f t="shared" si="1"/>
        <v>0</v>
      </c>
      <c r="T22" s="21">
        <f t="shared" si="2"/>
        <v>0</v>
      </c>
      <c r="U22" s="134">
        <v>0.48409533474062111</v>
      </c>
      <c r="V22" s="134"/>
      <c r="W22" s="134"/>
      <c r="X22" s="135"/>
      <c r="Y22" s="20">
        <f t="shared" si="3"/>
        <v>2969.0970756113038</v>
      </c>
      <c r="Z22" s="25">
        <f t="shared" si="0"/>
        <v>0.11066604976534287</v>
      </c>
    </row>
    <row r="23" spans="1:27" x14ac:dyDescent="0.25">
      <c r="A23" s="3" t="s">
        <v>43</v>
      </c>
      <c r="B23" s="27" t="s">
        <v>25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20">
        <f t="shared" si="1"/>
        <v>0</v>
      </c>
      <c r="T23" s="21">
        <f t="shared" si="2"/>
        <v>0</v>
      </c>
      <c r="U23" s="134"/>
      <c r="V23" s="134"/>
      <c r="W23" s="134"/>
      <c r="X23" s="135"/>
      <c r="Y23" s="20">
        <f t="shared" si="3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20">
        <f t="shared" si="1"/>
        <v>0</v>
      </c>
      <c r="T24" s="21">
        <f t="shared" si="2"/>
        <v>0</v>
      </c>
      <c r="U24" s="134">
        <v>16.721296875752465</v>
      </c>
      <c r="V24" s="134"/>
      <c r="W24" s="134"/>
      <c r="X24" s="135"/>
      <c r="Y24" s="20">
        <f t="shared" si="3"/>
        <v>102556.56291508384</v>
      </c>
      <c r="Z24" s="25">
        <f t="shared" si="0"/>
        <v>3.8225525829216762</v>
      </c>
    </row>
    <row r="25" spans="1:27" x14ac:dyDescent="0.25">
      <c r="A25" s="3" t="s">
        <v>45</v>
      </c>
      <c r="B25" s="27" t="s">
        <v>25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20">
        <f t="shared" si="1"/>
        <v>0</v>
      </c>
      <c r="T25" s="21">
        <f t="shared" si="2"/>
        <v>0</v>
      </c>
      <c r="U25" s="134">
        <v>4.7206047972757599</v>
      </c>
      <c r="V25" s="134"/>
      <c r="W25" s="134"/>
      <c r="X25" s="135"/>
      <c r="Y25" s="20">
        <f t="shared" si="3"/>
        <v>28952.838197083445</v>
      </c>
      <c r="Z25" s="25">
        <f t="shared" si="0"/>
        <v>1.0791483576220453</v>
      </c>
    </row>
    <row r="26" spans="1:27" x14ac:dyDescent="0.25">
      <c r="A26" s="3" t="s">
        <v>46</v>
      </c>
      <c r="B26" s="27" t="s">
        <v>25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20">
        <f t="shared" si="1"/>
        <v>0</v>
      </c>
      <c r="T26" s="21">
        <f t="shared" si="2"/>
        <v>0</v>
      </c>
      <c r="U26" s="134"/>
      <c r="V26" s="134"/>
      <c r="W26" s="134"/>
      <c r="X26" s="135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20">
        <f t="shared" si="1"/>
        <v>0</v>
      </c>
      <c r="T27" s="21">
        <f t="shared" si="2"/>
        <v>0</v>
      </c>
      <c r="U27" s="134">
        <v>37.112962369367828</v>
      </c>
      <c r="V27" s="134"/>
      <c r="W27" s="134"/>
      <c r="X27" s="135"/>
      <c r="Y27" s="20">
        <f t="shared" si="3"/>
        <v>227624.56097042002</v>
      </c>
      <c r="Z27" s="25">
        <f t="shared" si="0"/>
        <v>8.4841655057642118</v>
      </c>
    </row>
    <row r="28" spans="1:27" x14ac:dyDescent="0.25">
      <c r="A28" s="3" t="s">
        <v>48</v>
      </c>
      <c r="B28" s="27" t="s">
        <v>25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20">
        <f t="shared" si="1"/>
        <v>0</v>
      </c>
      <c r="T28" s="21">
        <f t="shared" si="2"/>
        <v>0</v>
      </c>
      <c r="U28" s="134">
        <v>2.9526311941919108</v>
      </c>
      <c r="V28" s="134"/>
      <c r="W28" s="134"/>
      <c r="X28" s="135"/>
      <c r="Y28" s="20">
        <f t="shared" si="3"/>
        <v>18109.343377025303</v>
      </c>
      <c r="Z28" s="25">
        <f t="shared" si="0"/>
        <v>0.67498281273506189</v>
      </c>
    </row>
    <row r="29" spans="1:27" x14ac:dyDescent="0.25">
      <c r="A29" s="9" t="s">
        <v>49</v>
      </c>
      <c r="B29" s="30" t="s">
        <v>25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39">
        <f t="shared" si="1"/>
        <v>0</v>
      </c>
      <c r="T29" s="40">
        <f t="shared" si="2"/>
        <v>0</v>
      </c>
      <c r="U29" s="137"/>
      <c r="V29" s="137"/>
      <c r="W29" s="137"/>
      <c r="X29" s="138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100.00000000000001</v>
      </c>
      <c r="G30" s="44">
        <f t="shared" si="4"/>
        <v>100</v>
      </c>
      <c r="H30" s="44">
        <f t="shared" si="4"/>
        <v>100.00000000000001</v>
      </c>
      <c r="I30" s="44">
        <f t="shared" si="4"/>
        <v>0</v>
      </c>
      <c r="J30" s="44">
        <f t="shared" si="4"/>
        <v>100.00000000000001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100.00000000000001</v>
      </c>
      <c r="O30" s="44">
        <f t="shared" si="4"/>
        <v>100</v>
      </c>
      <c r="P30" s="44">
        <f t="shared" si="4"/>
        <v>0</v>
      </c>
      <c r="Q30" s="44">
        <f t="shared" si="4"/>
        <v>100</v>
      </c>
      <c r="R30" s="44">
        <f t="shared" si="4"/>
        <v>100</v>
      </c>
      <c r="S30" s="20">
        <f>+SUM(S6:S29)</f>
        <v>1979433</v>
      </c>
      <c r="T30" s="20">
        <f>+SUM(T6:T29)</f>
        <v>100.00000000000001</v>
      </c>
      <c r="U30" s="44">
        <f>SUM(U6:U29)</f>
        <v>100.00000000000001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2682934.0000000005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36920</v>
      </c>
      <c r="D31" s="47">
        <v>221</v>
      </c>
      <c r="E31" s="47">
        <v>4651</v>
      </c>
      <c r="F31" s="47">
        <v>85306</v>
      </c>
      <c r="G31" s="47">
        <v>28208</v>
      </c>
      <c r="H31" s="47">
        <v>679</v>
      </c>
      <c r="I31" s="47">
        <v>0</v>
      </c>
      <c r="J31" s="47">
        <v>1525315</v>
      </c>
      <c r="K31" s="47">
        <v>0</v>
      </c>
      <c r="L31" s="47">
        <v>0</v>
      </c>
      <c r="M31" s="47">
        <v>0</v>
      </c>
      <c r="N31" s="47">
        <v>291450</v>
      </c>
      <c r="O31" s="47">
        <v>2121</v>
      </c>
      <c r="P31" s="47">
        <v>0</v>
      </c>
      <c r="Q31" s="47">
        <v>2264</v>
      </c>
      <c r="R31" s="47">
        <v>2298</v>
      </c>
      <c r="S31" s="48">
        <f>SUM(C31:R31)</f>
        <v>1979433</v>
      </c>
      <c r="T31" s="48">
        <f>S31*100/$S$31</f>
        <v>100</v>
      </c>
      <c r="U31" s="47">
        <v>613329</v>
      </c>
      <c r="V31" s="47">
        <v>63783</v>
      </c>
      <c r="W31" s="47">
        <v>0</v>
      </c>
      <c r="X31" s="47">
        <v>26389</v>
      </c>
      <c r="Y31" s="48">
        <f>+S31+U31+V31+W31+X31</f>
        <v>2682934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100</v>
      </c>
      <c r="B43" s="62"/>
      <c r="C43" s="63">
        <v>2682933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36920</v>
      </c>
      <c r="D45">
        <v>221</v>
      </c>
      <c r="E45">
        <v>4651</v>
      </c>
      <c r="F45">
        <v>85306</v>
      </c>
      <c r="G45">
        <v>28208</v>
      </c>
      <c r="H45">
        <v>679</v>
      </c>
      <c r="I45">
        <v>0</v>
      </c>
      <c r="J45">
        <v>1525315</v>
      </c>
      <c r="K45">
        <v>0</v>
      </c>
      <c r="L45">
        <v>0</v>
      </c>
      <c r="M45">
        <v>0</v>
      </c>
      <c r="N45">
        <v>291450</v>
      </c>
      <c r="O45">
        <v>2121</v>
      </c>
      <c r="P45">
        <v>0</v>
      </c>
      <c r="Q45">
        <v>2264</v>
      </c>
      <c r="R45">
        <v>2298</v>
      </c>
      <c r="U45">
        <v>613329</v>
      </c>
      <c r="V45">
        <v>63783</v>
      </c>
      <c r="W45">
        <v>0</v>
      </c>
      <c r="X45">
        <v>26389</v>
      </c>
      <c r="Y45">
        <f>SUM(C45:X45)</f>
        <v>2682934</v>
      </c>
    </row>
  </sheetData>
  <mergeCells count="3">
    <mergeCell ref="A1:Z2"/>
    <mergeCell ref="S4:T4"/>
    <mergeCell ref="Y4:Z4"/>
  </mergeCells>
  <pageMargins left="0.3" right="0.17" top="0.63" bottom="0.27559055118110237" header="0.31496062992125984" footer="0.23622047244094491"/>
  <pageSetup paperSize="9"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45"/>
  <sheetViews>
    <sheetView zoomScale="90" zoomScaleNormal="90" workbookViewId="0">
      <selection activeCell="U30" sqref="U30"/>
    </sheetView>
  </sheetViews>
  <sheetFormatPr defaultRowHeight="15" x14ac:dyDescent="0.25"/>
  <cols>
    <col min="1" max="1" width="34.140625" customWidth="1"/>
    <col min="2" max="2" width="7.28515625" customWidth="1"/>
    <col min="3" max="3" width="8.85546875" customWidth="1"/>
    <col min="4" max="5" width="12.7109375" customWidth="1"/>
    <col min="6" max="6" width="9.5703125" customWidth="1"/>
    <col min="7" max="7" width="8.140625" bestFit="1" customWidth="1"/>
    <col min="8" max="8" width="8.28515625" bestFit="1" customWidth="1"/>
    <col min="9" max="9" width="11" customWidth="1"/>
    <col min="10" max="10" width="9.140625" bestFit="1" customWidth="1"/>
    <col min="11" max="11" width="6" customWidth="1"/>
    <col min="12" max="12" width="7.28515625" customWidth="1"/>
    <col min="13" max="13" width="7.140625" customWidth="1"/>
    <col min="14" max="14" width="7.85546875" bestFit="1" customWidth="1"/>
    <col min="15" max="15" width="9.42578125" customWidth="1"/>
    <col min="16" max="16" width="7" bestFit="1" customWidth="1"/>
    <col min="17" max="17" width="7.28515625" bestFit="1" customWidth="1"/>
    <col min="18" max="18" width="6.42578125" bestFit="1" customWidth="1"/>
    <col min="19" max="19" width="10.28515625" customWidth="1"/>
    <col min="20" max="20" width="6.7109375" customWidth="1"/>
    <col min="21" max="21" width="11" customWidth="1"/>
    <col min="22" max="22" width="11.140625" bestFit="1" customWidth="1"/>
    <col min="23" max="23" width="9.28515625" bestFit="1" customWidth="1"/>
    <col min="24" max="24" width="14" bestFit="1" customWidth="1"/>
    <col min="25" max="25" width="10.140625" customWidth="1"/>
    <col min="26" max="26" width="6.85546875" customWidth="1"/>
    <col min="27" max="27" width="1.85546875" customWidth="1"/>
  </cols>
  <sheetData>
    <row r="1" spans="1:29" ht="15" customHeight="1" x14ac:dyDescent="0.25">
      <c r="A1" s="325" t="s">
        <v>233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233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91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34" t="s">
        <v>15</v>
      </c>
      <c r="Q4" s="234" t="s">
        <v>16</v>
      </c>
      <c r="R4" s="234" t="s">
        <v>17</v>
      </c>
      <c r="S4" s="327" t="s">
        <v>18</v>
      </c>
      <c r="T4" s="328"/>
      <c r="U4" s="233" t="s">
        <v>19</v>
      </c>
      <c r="V4" s="234" t="s">
        <v>20</v>
      </c>
      <c r="W4" s="7" t="s">
        <v>21</v>
      </c>
      <c r="X4" s="7" t="s">
        <v>22</v>
      </c>
      <c r="Y4" s="329" t="s">
        <v>23</v>
      </c>
      <c r="Z4" s="330"/>
      <c r="AA4" s="230"/>
      <c r="AB4" s="230"/>
      <c r="AC4" s="230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31" t="s">
        <v>25</v>
      </c>
      <c r="U5" s="231" t="s">
        <v>25</v>
      </c>
      <c r="V5" s="231" t="s">
        <v>25</v>
      </c>
      <c r="W5" s="231" t="s">
        <v>25</v>
      </c>
      <c r="X5" s="23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25</v>
      </c>
      <c r="I6" s="19"/>
      <c r="J6" s="19">
        <v>10</v>
      </c>
      <c r="K6" s="19"/>
      <c r="L6" s="19"/>
      <c r="M6" s="19"/>
      <c r="N6" s="19">
        <v>30</v>
      </c>
      <c r="O6" s="19">
        <v>30</v>
      </c>
      <c r="P6" s="19"/>
      <c r="Q6" s="19">
        <v>30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15593.750000000002</v>
      </c>
      <c r="T6" s="21">
        <f>S6*100/$S$31</f>
        <v>7.298599604968782</v>
      </c>
      <c r="U6" s="22"/>
      <c r="V6" s="22"/>
      <c r="W6" s="22"/>
      <c r="X6" s="23"/>
      <c r="Y6" s="20">
        <f>U6/100*$U$31+V6/100*$V$31+W6/100*$W$31+X6/100*$X$31+S6</f>
        <v>15593.750000000002</v>
      </c>
      <c r="Z6" s="25">
        <f t="shared" ref="Z6:Z29" si="0">Y6*100/$Y$31</f>
        <v>1.94234043692773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>
        <v>100</v>
      </c>
      <c r="D8" s="22"/>
      <c r="E8" s="22"/>
      <c r="F8" s="22"/>
      <c r="G8" s="22"/>
      <c r="H8" s="22"/>
      <c r="I8" s="22"/>
      <c r="J8" s="22">
        <v>9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13565.44</v>
      </c>
      <c r="T8" s="21">
        <f>S8*100/$S$31</f>
        <v>6.3492562741628991</v>
      </c>
      <c r="U8" s="22">
        <v>3</v>
      </c>
      <c r="V8" s="22"/>
      <c r="W8" s="22"/>
      <c r="X8" s="23"/>
      <c r="Y8" s="20">
        <f t="shared" si="2"/>
        <v>27941.77</v>
      </c>
      <c r="Z8" s="25">
        <f t="shared" si="0"/>
        <v>3.4803962966146136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235" t="s">
        <v>25</v>
      </c>
      <c r="C15" s="22"/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46</v>
      </c>
      <c r="T15" s="21">
        <f t="shared" si="3"/>
        <v>2.1530137512052197E-2</v>
      </c>
      <c r="U15" s="22"/>
      <c r="V15" s="33"/>
      <c r="W15" s="33"/>
      <c r="X15" s="23"/>
      <c r="Y15" s="20">
        <f t="shared" si="2"/>
        <v>46</v>
      </c>
      <c r="Z15" s="25">
        <f t="shared" si="0"/>
        <v>5.7297096656465296E-3</v>
      </c>
    </row>
    <row r="16" spans="1:29" x14ac:dyDescent="0.25">
      <c r="A16" s="29" t="s">
        <v>36</v>
      </c>
      <c r="B16" s="72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78213</v>
      </c>
      <c r="T16" s="21">
        <f t="shared" si="3"/>
        <v>36.60731837456823</v>
      </c>
      <c r="U16" s="22"/>
      <c r="V16" s="33"/>
      <c r="W16" s="33"/>
      <c r="X16" s="23"/>
      <c r="Y16" s="20">
        <f t="shared" si="2"/>
        <v>78213</v>
      </c>
      <c r="Z16" s="25">
        <f t="shared" si="0"/>
        <v>9.7421256973741741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85</v>
      </c>
      <c r="G17" s="22"/>
      <c r="H17" s="22">
        <v>75</v>
      </c>
      <c r="I17" s="22"/>
      <c r="J17" s="22">
        <v>81</v>
      </c>
      <c r="K17" s="22"/>
      <c r="L17" s="22"/>
      <c r="M17" s="22"/>
      <c r="N17" s="22">
        <v>70</v>
      </c>
      <c r="O17" s="22">
        <v>70</v>
      </c>
      <c r="P17" s="22"/>
      <c r="Q17" s="22">
        <v>70</v>
      </c>
      <c r="R17" s="22"/>
      <c r="S17" s="20">
        <f t="shared" si="1"/>
        <v>106235.81</v>
      </c>
      <c r="T17" s="21">
        <f t="shared" si="3"/>
        <v>49.723295608788042</v>
      </c>
      <c r="U17" s="33">
        <v>3</v>
      </c>
      <c r="V17" s="22">
        <v>100</v>
      </c>
      <c r="W17" s="22"/>
      <c r="X17" s="23">
        <v>100</v>
      </c>
      <c r="Y17" s="20">
        <f t="shared" si="2"/>
        <v>230580.14</v>
      </c>
      <c r="Z17" s="25">
        <f t="shared" si="0"/>
        <v>28.72080993182891</v>
      </c>
    </row>
    <row r="18" spans="1:27" x14ac:dyDescent="0.25">
      <c r="A18" s="35" t="s">
        <v>38</v>
      </c>
      <c r="B18" s="235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2</v>
      </c>
      <c r="V18" s="22"/>
      <c r="W18" s="22"/>
      <c r="X18" s="23"/>
      <c r="Y18" s="20">
        <f t="shared" si="2"/>
        <v>9584.2199999999993</v>
      </c>
      <c r="Z18" s="25">
        <f t="shared" si="0"/>
        <v>1.1937999559061472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14</v>
      </c>
      <c r="V19" s="22"/>
      <c r="W19" s="22"/>
      <c r="X19" s="23"/>
      <c r="Y19" s="20">
        <f t="shared" si="2"/>
        <v>67089.540000000008</v>
      </c>
      <c r="Z19" s="25">
        <f t="shared" si="0"/>
        <v>8.3565996913430318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1</v>
      </c>
      <c r="V20" s="22"/>
      <c r="W20" s="22"/>
      <c r="X20" s="23"/>
      <c r="Y20" s="20">
        <f t="shared" si="2"/>
        <v>4792.1099999999997</v>
      </c>
      <c r="Z20" s="25">
        <f t="shared" si="0"/>
        <v>0.59689997795307359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5</v>
      </c>
      <c r="V22" s="22"/>
      <c r="W22" s="22"/>
      <c r="X22" s="23"/>
      <c r="Y22" s="20">
        <f t="shared" si="2"/>
        <v>23960.550000000003</v>
      </c>
      <c r="Z22" s="25">
        <f t="shared" si="0"/>
        <v>2.984499889765369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19</v>
      </c>
      <c r="V23" s="22"/>
      <c r="W23" s="22"/>
      <c r="X23" s="23"/>
      <c r="Y23" s="20">
        <f t="shared" si="2"/>
        <v>91050.09</v>
      </c>
      <c r="Z23" s="25">
        <f t="shared" si="0"/>
        <v>11.3410995811084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/>
      <c r="V24" s="22"/>
      <c r="W24" s="22"/>
      <c r="X24" s="23"/>
      <c r="Y24" s="20">
        <f t="shared" si="2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5</v>
      </c>
      <c r="V25" s="22"/>
      <c r="W25" s="22"/>
      <c r="X25" s="23"/>
      <c r="Y25" s="20">
        <f t="shared" si="2"/>
        <v>23960.550000000003</v>
      </c>
      <c r="Z25" s="25">
        <f t="shared" si="0"/>
        <v>2.984499889765369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>U26/100*$U$31+V26/100*$V$31+W26/100*$W$31+X26/100*$X$31+S26</f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33</v>
      </c>
      <c r="V27" s="22"/>
      <c r="W27" s="22"/>
      <c r="X27" s="23"/>
      <c r="Y27" s="20">
        <f t="shared" si="2"/>
        <v>158139.63</v>
      </c>
      <c r="Z27" s="25">
        <f t="shared" si="0"/>
        <v>19.69769927245143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15</v>
      </c>
      <c r="V28" s="22"/>
      <c r="W28" s="22"/>
      <c r="X28" s="23"/>
      <c r="Y28" s="20">
        <f t="shared" si="2"/>
        <v>71881.649999999994</v>
      </c>
      <c r="Z28" s="25">
        <f t="shared" si="0"/>
        <v>8.9534996692961037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213654</v>
      </c>
      <c r="T30" s="20">
        <f>+SUM(T6:T29)</f>
        <v>100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802833.00000000012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3646</v>
      </c>
      <c r="D31" s="47">
        <v>46</v>
      </c>
      <c r="E31" s="47">
        <v>21006</v>
      </c>
      <c r="F31" s="47">
        <v>12130</v>
      </c>
      <c r="G31" s="47">
        <v>57207</v>
      </c>
      <c r="H31" s="47">
        <v>1365</v>
      </c>
      <c r="I31" s="47">
        <v>0</v>
      </c>
      <c r="J31" s="47">
        <v>110216</v>
      </c>
      <c r="K31" s="47">
        <v>0</v>
      </c>
      <c r="L31" s="47">
        <v>0</v>
      </c>
      <c r="M31" s="47">
        <v>0</v>
      </c>
      <c r="N31" s="47">
        <v>147</v>
      </c>
      <c r="O31" s="47">
        <v>2917</v>
      </c>
      <c r="P31" s="47">
        <v>0</v>
      </c>
      <c r="Q31" s="47">
        <v>4974</v>
      </c>
      <c r="R31" s="47">
        <v>0</v>
      </c>
      <c r="S31" s="48">
        <f>SUM(C31:R31)</f>
        <v>213654</v>
      </c>
      <c r="T31" s="48">
        <f>S31*100/$S$31</f>
        <v>100</v>
      </c>
      <c r="U31" s="47">
        <v>479211</v>
      </c>
      <c r="V31" s="47">
        <v>82593</v>
      </c>
      <c r="W31" s="47">
        <v>0</v>
      </c>
      <c r="X31" s="47">
        <v>27375</v>
      </c>
      <c r="Y31" s="48">
        <f>+S31+U31+V31+W31+X31</f>
        <v>802833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X34" s="81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  <c r="X37" s="81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234</v>
      </c>
      <c r="B43" s="62"/>
      <c r="C43" s="63">
        <v>802833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3646</v>
      </c>
      <c r="D45">
        <v>46</v>
      </c>
      <c r="E45">
        <v>21006</v>
      </c>
      <c r="F45">
        <v>12130</v>
      </c>
      <c r="G45">
        <v>57207</v>
      </c>
      <c r="H45">
        <v>1365</v>
      </c>
      <c r="I45">
        <v>0</v>
      </c>
      <c r="J45">
        <v>110216</v>
      </c>
      <c r="K45">
        <v>0</v>
      </c>
      <c r="L45">
        <v>0</v>
      </c>
      <c r="M45">
        <v>0</v>
      </c>
      <c r="N45">
        <v>147</v>
      </c>
      <c r="O45">
        <v>2917</v>
      </c>
      <c r="P45">
        <v>0</v>
      </c>
      <c r="Q45">
        <v>4974</v>
      </c>
      <c r="R45">
        <v>0</v>
      </c>
      <c r="U45">
        <v>479211</v>
      </c>
      <c r="V45">
        <v>82593</v>
      </c>
      <c r="W45">
        <v>0</v>
      </c>
      <c r="X45">
        <v>27375</v>
      </c>
      <c r="Y45">
        <f>SUM(C45:X45)</f>
        <v>802833</v>
      </c>
    </row>
  </sheetData>
  <mergeCells count="3">
    <mergeCell ref="A1:Z2"/>
    <mergeCell ref="S4:T4"/>
    <mergeCell ref="Y4:Z4"/>
  </mergeCells>
  <pageMargins left="0.25" right="0.22" top="0.74803149606299213" bottom="0.74803149606299213" header="0.31496062992125984" footer="0.31496062992125984"/>
  <pageSetup paperSize="9" scale="5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C47"/>
  <sheetViews>
    <sheetView zoomScale="90" zoomScaleNormal="90" workbookViewId="0">
      <selection activeCell="T30" sqref="T30"/>
    </sheetView>
  </sheetViews>
  <sheetFormatPr defaultRowHeight="15" x14ac:dyDescent="0.25"/>
  <cols>
    <col min="1" max="1" width="33.7109375" customWidth="1"/>
    <col min="2" max="2" width="7.28515625" customWidth="1"/>
    <col min="3" max="3" width="8.85546875" customWidth="1"/>
    <col min="4" max="4" width="12.7109375" customWidth="1"/>
    <col min="5" max="5" width="13.140625" customWidth="1"/>
    <col min="6" max="6" width="9.140625" customWidth="1"/>
    <col min="7" max="7" width="7.42578125" customWidth="1"/>
    <col min="8" max="8" width="8.28515625" bestFit="1" customWidth="1"/>
    <col min="9" max="9" width="11.140625" customWidth="1"/>
    <col min="10" max="10" width="9" bestFit="1" customWidth="1"/>
    <col min="11" max="11" width="7.5703125" customWidth="1"/>
    <col min="12" max="13" width="7.85546875" customWidth="1"/>
    <col min="14" max="14" width="7.85546875" bestFit="1" customWidth="1"/>
    <col min="15" max="15" width="9" customWidth="1"/>
    <col min="16" max="16" width="7" bestFit="1" customWidth="1"/>
    <col min="17" max="17" width="7.28515625" bestFit="1" customWidth="1"/>
    <col min="18" max="18" width="7.42578125" customWidth="1"/>
    <col min="19" max="19" width="9.5703125" customWidth="1"/>
    <col min="20" max="20" width="6.7109375" customWidth="1"/>
    <col min="21" max="21" width="9.140625" bestFit="1" customWidth="1"/>
    <col min="22" max="22" width="10.5703125" customWidth="1"/>
    <col min="23" max="23" width="9.28515625" bestFit="1" customWidth="1"/>
    <col min="24" max="24" width="14.140625" customWidth="1"/>
    <col min="25" max="25" width="9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199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203" t="s">
        <v>9</v>
      </c>
      <c r="K4" s="203" t="s">
        <v>10</v>
      </c>
      <c r="L4" s="203" t="s">
        <v>11</v>
      </c>
      <c r="M4" s="203" t="s">
        <v>12</v>
      </c>
      <c r="N4" s="203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/>
      <c r="I6" s="19"/>
      <c r="J6" s="19">
        <v>10</v>
      </c>
      <c r="K6" s="19"/>
      <c r="L6" s="19"/>
      <c r="M6" s="19"/>
      <c r="N6" s="19"/>
      <c r="O6" s="19"/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4481.51772083588</v>
      </c>
      <c r="T6" s="140">
        <f>S6*100/$S$31</f>
        <v>8.9844301586692765</v>
      </c>
      <c r="U6" s="22"/>
      <c r="V6" s="22"/>
      <c r="W6" s="22"/>
      <c r="X6" s="23"/>
      <c r="Y6" s="20">
        <f>U6/100*$U$31+V6/100*$V$31+W6/100*$W$31+X6/100*$X$31+S6</f>
        <v>4481.51772083588</v>
      </c>
      <c r="Z6" s="25">
        <f t="shared" ref="Z6:Z28" si="0">Y6*100/$Y$31</f>
        <v>0.96568108633443117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99.549228678105194</v>
      </c>
      <c r="T15" s="21">
        <f t="shared" si="2"/>
        <v>0.19957370429431506</v>
      </c>
      <c r="U15" s="22"/>
      <c r="V15" s="33"/>
      <c r="W15" s="22"/>
      <c r="X15" s="23"/>
      <c r="Y15" s="20">
        <f t="shared" si="3"/>
        <v>99.549228678105194</v>
      </c>
      <c r="Z15" s="25">
        <f t="shared" si="0"/>
        <v>2.1450948826259891E-2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4966.2080428373019</v>
      </c>
      <c r="T16" s="21">
        <f t="shared" si="2"/>
        <v>9.9561247090129221</v>
      </c>
      <c r="U16" s="22"/>
      <c r="V16" s="33"/>
      <c r="W16" s="22"/>
      <c r="X16" s="23"/>
      <c r="Y16" s="20">
        <f t="shared" si="3"/>
        <v>4966.2080428373019</v>
      </c>
      <c r="Z16" s="25">
        <f t="shared" si="0"/>
        <v>1.0701225514456787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/>
      <c r="I17" s="22"/>
      <c r="J17" s="22">
        <v>90</v>
      </c>
      <c r="K17" s="22"/>
      <c r="L17" s="22"/>
      <c r="M17" s="22"/>
      <c r="N17" s="22"/>
      <c r="O17" s="22"/>
      <c r="P17" s="22"/>
      <c r="Q17" s="22"/>
      <c r="R17" s="22"/>
      <c r="S17" s="20">
        <f t="shared" si="1"/>
        <v>40333.65948752292</v>
      </c>
      <c r="T17" s="21">
        <f t="shared" si="2"/>
        <v>80.859871428023482</v>
      </c>
      <c r="U17" s="33"/>
      <c r="V17" s="22">
        <v>100</v>
      </c>
      <c r="W17" s="22"/>
      <c r="X17" s="23"/>
      <c r="Y17" s="20">
        <f t="shared" si="3"/>
        <v>47171.393029508603</v>
      </c>
      <c r="Z17" s="25">
        <f t="shared" si="0"/>
        <v>10.164530166389245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1</v>
      </c>
      <c r="V19" s="22"/>
      <c r="W19" s="22"/>
      <c r="X19" s="23"/>
      <c r="Y19" s="20">
        <f t="shared" si="3"/>
        <v>4073.5977197814</v>
      </c>
      <c r="Z19" s="25">
        <f t="shared" si="0"/>
        <v>0.87778215247004387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2</v>
      </c>
      <c r="V20" s="22"/>
      <c r="W20" s="22"/>
      <c r="X20" s="23"/>
      <c r="Y20" s="20">
        <f t="shared" si="3"/>
        <v>8147.1954395627999</v>
      </c>
      <c r="Z20" s="25">
        <f t="shared" si="0"/>
        <v>1.7555643049400877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10</v>
      </c>
      <c r="V22" s="22"/>
      <c r="W22" s="22"/>
      <c r="X22" s="23"/>
      <c r="Y22" s="20">
        <f t="shared" si="3"/>
        <v>40735.977197814005</v>
      </c>
      <c r="Z22" s="25">
        <f t="shared" si="0"/>
        <v>8.7778215247004407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/>
      <c r="V23" s="22"/>
      <c r="W23" s="22"/>
      <c r="X23" s="23"/>
      <c r="Y23" s="20">
        <f t="shared" si="3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1</v>
      </c>
      <c r="V24" s="22"/>
      <c r="W24" s="22"/>
      <c r="X24" s="23"/>
      <c r="Y24" s="20">
        <f t="shared" si="3"/>
        <v>4073.5977197814</v>
      </c>
      <c r="Z24" s="25">
        <f t="shared" si="0"/>
        <v>0.87778215247004387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/>
      <c r="V25" s="22"/>
      <c r="W25" s="22"/>
      <c r="X25" s="23"/>
      <c r="Y25" s="20">
        <f t="shared" si="3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3</v>
      </c>
      <c r="V27" s="22"/>
      <c r="W27" s="22"/>
      <c r="X27" s="23"/>
      <c r="Y27" s="20">
        <f t="shared" si="3"/>
        <v>12220.793159344199</v>
      </c>
      <c r="Z27" s="25">
        <f t="shared" si="0"/>
        <v>2.6333464574101311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1</v>
      </c>
      <c r="V28" s="22"/>
      <c r="W28" s="22"/>
      <c r="X28" s="23"/>
      <c r="Y28" s="20">
        <f t="shared" si="3"/>
        <v>4073.5977197814</v>
      </c>
      <c r="Z28" s="25">
        <f t="shared" si="0"/>
        <v>0.87778215247004387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>
        <v>82</v>
      </c>
      <c r="V29" s="38"/>
      <c r="W29" s="38"/>
      <c r="X29" s="41"/>
      <c r="Y29" s="39">
        <f t="shared" si="3"/>
        <v>334035.01302207477</v>
      </c>
      <c r="Z29" s="42">
        <f>Y29*100/$Y$31</f>
        <v>71.978136502543592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0</v>
      </c>
      <c r="R30" s="44">
        <f t="shared" si="4"/>
        <v>0</v>
      </c>
      <c r="S30" s="20">
        <f>+SUM(S6:S29)</f>
        <v>49880.93447987421</v>
      </c>
      <c r="T30" s="20">
        <f>+SUM(T6:T29)</f>
        <v>100</v>
      </c>
      <c r="U30" s="44">
        <f t="shared" ref="U30:V30" si="5">SUM(U6:U29)</f>
        <v>100</v>
      </c>
      <c r="V30" s="44">
        <f t="shared" si="5"/>
        <v>100</v>
      </c>
      <c r="W30" s="44">
        <f>SUM(W6:W29)</f>
        <v>0</v>
      </c>
      <c r="X30" s="44">
        <f>SUM(X6:X29)</f>
        <v>0</v>
      </c>
      <c r="Y30" s="39">
        <f>SUM(Y6:Y29)</f>
        <v>464078.43999999989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f>0.0995492286781052*1000</f>
        <v>99.549228678105194</v>
      </c>
      <c r="D31" s="47">
        <v>0</v>
      </c>
      <c r="E31" s="47">
        <f>0.395599978312122*1000</f>
        <v>395.599978312122</v>
      </c>
      <c r="F31" s="47">
        <v>0</v>
      </c>
      <c r="G31" s="47">
        <f>1000*4.57060806452518</f>
        <v>4570.6080645251795</v>
      </c>
      <c r="H31" s="47">
        <v>0</v>
      </c>
      <c r="I31" s="47">
        <v>0</v>
      </c>
      <c r="J31" s="47">
        <v>44815.1772083588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8">
        <f>SUM(C31:R31)</f>
        <v>49880.93447987421</v>
      </c>
      <c r="T31" s="48">
        <f>S31*100/$S$31</f>
        <v>99.999999999999986</v>
      </c>
      <c r="U31" s="47">
        <f>407.35977197814*1000</f>
        <v>407359.77197813999</v>
      </c>
      <c r="V31" s="47">
        <f>6.83773354198568*1000</f>
        <v>6837.7335419856799</v>
      </c>
      <c r="W31" s="47">
        <v>0</v>
      </c>
      <c r="X31" s="141">
        <v>0</v>
      </c>
      <c r="Y31" s="48">
        <f>+S31+U31+V31+W31+X31</f>
        <v>464078.43999999989</v>
      </c>
      <c r="Z31" s="48">
        <f>Y31*100/$Y$31</f>
        <v>99.999999999999986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 t="s">
        <v>200</v>
      </c>
      <c r="C37" s="38"/>
      <c r="D37" s="38"/>
      <c r="E37" s="38"/>
      <c r="F37" s="41"/>
      <c r="G37" s="10"/>
    </row>
    <row r="38" spans="1:19" x14ac:dyDescent="0.25">
      <c r="A38" t="s">
        <v>58</v>
      </c>
      <c r="I38" s="153"/>
      <c r="K38" s="153"/>
    </row>
    <row r="39" spans="1:19" ht="18.75" x14ac:dyDescent="0.3">
      <c r="A39" s="60"/>
      <c r="B39" s="61"/>
    </row>
    <row r="40" spans="1:19" x14ac:dyDescent="0.25">
      <c r="A40" s="194"/>
      <c r="B40" s="194"/>
      <c r="C40" s="196"/>
      <c r="D40" s="196"/>
      <c r="E40" s="196"/>
      <c r="F40" s="196"/>
      <c r="G40" s="196"/>
      <c r="H40" s="196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</sheetData>
  <mergeCells count="3">
    <mergeCell ref="A1:Z2"/>
    <mergeCell ref="S4:T4"/>
    <mergeCell ref="Y4:Z4"/>
  </mergeCells>
  <pageMargins left="0.28999999999999998" right="0.2" top="0.74803149606299213" bottom="0.74803149606299213" header="0.31496062992125984" footer="0.31496062992125984"/>
  <pageSetup paperSize="9" scale="5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47"/>
  <sheetViews>
    <sheetView zoomScale="90" zoomScaleNormal="90" workbookViewId="0">
      <selection activeCell="A3" sqref="A3"/>
    </sheetView>
  </sheetViews>
  <sheetFormatPr defaultRowHeight="15" x14ac:dyDescent="0.25"/>
  <cols>
    <col min="1" max="1" width="33.5703125" customWidth="1"/>
    <col min="2" max="2" width="7.28515625" customWidth="1"/>
    <col min="3" max="3" width="7.140625" customWidth="1"/>
    <col min="4" max="4" width="13" customWidth="1"/>
    <col min="5" max="5" width="12.5703125" customWidth="1"/>
    <col min="6" max="6" width="8.5703125" customWidth="1"/>
    <col min="7" max="7" width="8.42578125" customWidth="1"/>
    <col min="8" max="8" width="9.5703125" customWidth="1"/>
    <col min="9" max="9" width="11" customWidth="1"/>
    <col min="10" max="10" width="9.140625" bestFit="1" customWidth="1"/>
    <col min="11" max="11" width="5.7109375" customWidth="1"/>
    <col min="12" max="12" width="6.7109375" customWidth="1"/>
    <col min="13" max="13" width="5.7109375" bestFit="1" customWidth="1"/>
    <col min="14" max="14" width="7.85546875" bestFit="1" customWidth="1"/>
    <col min="15" max="15" width="9.140625" customWidth="1"/>
    <col min="16" max="16" width="7" bestFit="1" customWidth="1"/>
    <col min="17" max="17" width="7.28515625" bestFit="1" customWidth="1"/>
    <col min="18" max="18" width="7.28515625" customWidth="1"/>
    <col min="19" max="19" width="10.85546875" customWidth="1"/>
    <col min="20" max="20" width="8" customWidth="1"/>
    <col min="21" max="21" width="11.140625" customWidth="1"/>
    <col min="22" max="22" width="11.28515625" customWidth="1"/>
    <col min="23" max="23" width="9.28515625" bestFit="1" customWidth="1"/>
    <col min="24" max="24" width="13.7109375" customWidth="1"/>
    <col min="25" max="25" width="10.5703125" customWidth="1"/>
    <col min="26" max="26" width="7" customWidth="1"/>
    <col min="27" max="27" width="1.85546875" customWidth="1"/>
  </cols>
  <sheetData>
    <row r="1" spans="1:29" ht="15" customHeight="1" x14ac:dyDescent="0.25">
      <c r="A1" s="325" t="s">
        <v>246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64"/>
      <c r="D6" s="164"/>
      <c r="E6" s="164"/>
      <c r="F6" s="164"/>
      <c r="G6" s="164"/>
      <c r="H6" s="164">
        <v>15</v>
      </c>
      <c r="I6" s="164"/>
      <c r="J6" s="165">
        <v>14.000000000000002</v>
      </c>
      <c r="K6" s="164"/>
      <c r="L6" s="164"/>
      <c r="M6" s="164"/>
      <c r="N6" s="164"/>
      <c r="O6" s="164"/>
      <c r="P6" s="164"/>
      <c r="Q6" s="164"/>
      <c r="R6" s="164"/>
      <c r="S6" s="24">
        <f>C6/100*$C$31+D6/100*$D$31+E6/100*$E$31+F6/100*$F$31+G6/100*$G$31+H6/100*$H$31+I6/100*$I$31+J6/100*$J$31+K6/100*$K$31+L6/100*$L$31+M6/100*$M$31+N6/100*$N$31+O6/100*$O$31+P6/100*$P$31+Q6/100*$Q$31+R6/100*$R$31</f>
        <v>107121.22026833612</v>
      </c>
      <c r="T6" s="140">
        <f>S6*100/$S$31</f>
        <v>13.917391165881002</v>
      </c>
      <c r="U6" s="134"/>
      <c r="V6" s="134"/>
      <c r="W6" s="134"/>
      <c r="X6" s="135"/>
      <c r="Y6" s="20">
        <f>U6/100*$U$31+V6/100*$V$31+W6/100*$W$31+X6/100*$X$31+S6</f>
        <v>107121.22026833612</v>
      </c>
      <c r="Z6" s="25">
        <f t="shared" ref="Z6:Z28" si="0">Y6*100/$Y$31</f>
        <v>5.0621952766683274</v>
      </c>
    </row>
    <row r="7" spans="1:29" x14ac:dyDescent="0.25">
      <c r="A7" s="26" t="s">
        <v>27</v>
      </c>
      <c r="B7" s="18" t="s">
        <v>25</v>
      </c>
      <c r="C7" s="165"/>
      <c r="D7" s="165"/>
      <c r="E7" s="165"/>
      <c r="F7" s="165"/>
      <c r="G7" s="165"/>
      <c r="H7" s="165"/>
      <c r="I7" s="165"/>
      <c r="J7" s="165">
        <v>34.000000000000007</v>
      </c>
      <c r="K7" s="165"/>
      <c r="L7" s="165"/>
      <c r="M7" s="165"/>
      <c r="N7" s="165"/>
      <c r="O7" s="165"/>
      <c r="P7" s="165"/>
      <c r="Q7" s="165"/>
      <c r="R7" s="165"/>
      <c r="S7" s="20">
        <f t="shared" ref="S7:S28" si="1">C7/100*$C$31+D7/100*$D$31+E7/100*$E$31+F7/100*$F$31+G7/100*$G$31+H7/100*$H$31+I7/100*$I$31+J7/100*$J$31+K7/100*$K$31+L7/100*$L$31+M7/100*$M$31+N7/100*$N$31+O7/100*$O$31+P7/100*$P$31+Q7/100*$Q$31+R7/100*$R$31</f>
        <v>177816.11493738776</v>
      </c>
      <c r="T7" s="21">
        <f t="shared" ref="T7:T28" si="2">S7*100/$S$31</f>
        <v>23.102205342524336</v>
      </c>
      <c r="U7" s="134"/>
      <c r="V7" s="134">
        <v>37.500000000000014</v>
      </c>
      <c r="W7" s="134"/>
      <c r="X7" s="135"/>
      <c r="Y7" s="20">
        <f t="shared" ref="Y7:Y29" si="3">U7/100*$U$31+V7/100*$V$31+W7/100*$W$31+X7/100*$X$31+S7</f>
        <v>347124.48993738787</v>
      </c>
      <c r="Z7" s="25">
        <f t="shared" si="0"/>
        <v>16.403957581655369</v>
      </c>
    </row>
    <row r="8" spans="1:29" x14ac:dyDescent="0.25">
      <c r="A8" s="3" t="s">
        <v>28</v>
      </c>
      <c r="B8" s="27" t="s">
        <v>25</v>
      </c>
      <c r="C8" s="165"/>
      <c r="D8" s="165"/>
      <c r="E8" s="165"/>
      <c r="F8" s="165"/>
      <c r="G8" s="165"/>
      <c r="H8" s="165"/>
      <c r="I8" s="165"/>
      <c r="J8" s="165">
        <v>17</v>
      </c>
      <c r="K8" s="165"/>
      <c r="L8" s="165"/>
      <c r="M8" s="165"/>
      <c r="N8" s="165"/>
      <c r="O8" s="165"/>
      <c r="P8" s="165"/>
      <c r="Q8" s="165"/>
      <c r="R8" s="165"/>
      <c r="S8" s="20">
        <f t="shared" si="1"/>
        <v>88908.057468693863</v>
      </c>
      <c r="T8" s="21">
        <f t="shared" si="2"/>
        <v>11.551102671262168</v>
      </c>
      <c r="U8" s="134"/>
      <c r="V8" s="134">
        <v>20.5</v>
      </c>
      <c r="W8" s="134"/>
      <c r="X8" s="135"/>
      <c r="Y8" s="20">
        <f t="shared" si="3"/>
        <v>181463.30246869387</v>
      </c>
      <c r="Z8" s="25">
        <f t="shared" si="0"/>
        <v>8.5753566879146845</v>
      </c>
    </row>
    <row r="9" spans="1:29" x14ac:dyDescent="0.25">
      <c r="A9" s="3" t="s">
        <v>29</v>
      </c>
      <c r="B9" s="27" t="s">
        <v>25</v>
      </c>
      <c r="C9" s="165"/>
      <c r="D9" s="165"/>
      <c r="E9" s="165"/>
      <c r="F9" s="165"/>
      <c r="G9" s="165"/>
      <c r="H9" s="165"/>
      <c r="I9" s="165"/>
      <c r="J9" s="165">
        <v>20</v>
      </c>
      <c r="K9" s="165"/>
      <c r="L9" s="165"/>
      <c r="M9" s="165"/>
      <c r="N9" s="165"/>
      <c r="O9" s="165"/>
      <c r="P9" s="165"/>
      <c r="Q9" s="165"/>
      <c r="R9" s="165"/>
      <c r="S9" s="20">
        <f>C9/100*$C$31+D9/100*$D$31+E9/100*$E$31+F9/100*$F$31+G9/100*$G$31+H9/100*$H$31+I9/100*$I$31+J9/100*$J$31+K9/100*$K$31+L9/100*$L$31+M9/100*$M$31+N9/100*$N$31+O9/100*$O$31+P9/100*$P$31+Q9/100*$Q$31+R9/100*$R$31</f>
        <v>104597.71466905159</v>
      </c>
      <c r="T9" s="21">
        <f t="shared" si="2"/>
        <v>13.589532554426077</v>
      </c>
      <c r="U9" s="134"/>
      <c r="V9" s="134">
        <v>23.5</v>
      </c>
      <c r="W9" s="134"/>
      <c r="X9" s="135"/>
      <c r="Y9" s="20">
        <f t="shared" si="3"/>
        <v>210697.62966905159</v>
      </c>
      <c r="Z9" s="25">
        <f t="shared" si="0"/>
        <v>9.9568744926924495</v>
      </c>
    </row>
    <row r="10" spans="1:29" x14ac:dyDescent="0.25">
      <c r="A10" s="3" t="s">
        <v>30</v>
      </c>
      <c r="B10" s="27" t="s">
        <v>25</v>
      </c>
      <c r="C10" s="165"/>
      <c r="D10" s="165"/>
      <c r="E10" s="165"/>
      <c r="F10" s="165"/>
      <c r="G10" s="165"/>
      <c r="H10" s="165">
        <v>58.964781216648873</v>
      </c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20">
        <f>C10/100*$C$31+D10/100*$D$31+E10/100*$E$31+F10/100*$F$31+G10/100*$G$31+H10/100*$H$31+I10/100*$I$31+J10/100*$J$31+K10/100*$K$31+L10/100*$L$31+M10/100*$M$31+N10/100*$N$31+O10/100*$O$31+P10/100*$P$31+Q10/100*$Q$31+R10/100*$R$31</f>
        <v>133271.49092849519</v>
      </c>
      <c r="T10" s="21">
        <f t="shared" si="2"/>
        <v>17.314883697794144</v>
      </c>
      <c r="U10" s="134"/>
      <c r="V10" s="134"/>
      <c r="W10" s="134"/>
      <c r="X10" s="135"/>
      <c r="Y10" s="20">
        <f t="shared" si="3"/>
        <v>133271.49092849519</v>
      </c>
      <c r="Z10" s="25">
        <f t="shared" si="0"/>
        <v>6.2979707494257546</v>
      </c>
    </row>
    <row r="11" spans="1:29" x14ac:dyDescent="0.25">
      <c r="A11" s="3" t="s">
        <v>31</v>
      </c>
      <c r="B11" s="27" t="s">
        <v>25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20">
        <f t="shared" si="1"/>
        <v>0</v>
      </c>
      <c r="T11" s="21">
        <f t="shared" si="2"/>
        <v>0</v>
      </c>
      <c r="U11" s="134"/>
      <c r="V11" s="134"/>
      <c r="W11" s="134"/>
      <c r="X11" s="135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20">
        <f t="shared" si="1"/>
        <v>0</v>
      </c>
      <c r="T12" s="21">
        <f t="shared" si="2"/>
        <v>0</v>
      </c>
      <c r="U12" s="134"/>
      <c r="V12" s="134"/>
      <c r="W12" s="134"/>
      <c r="X12" s="135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20">
        <f t="shared" si="1"/>
        <v>0</v>
      </c>
      <c r="T13" s="21">
        <f t="shared" si="2"/>
        <v>0</v>
      </c>
      <c r="U13" s="134"/>
      <c r="V13" s="134"/>
      <c r="W13" s="134"/>
      <c r="X13" s="135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165"/>
      <c r="D14" s="165"/>
      <c r="E14" s="165"/>
      <c r="F14" s="165"/>
      <c r="G14" s="165"/>
      <c r="H14" s="165">
        <v>26.035218783351119</v>
      </c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20">
        <f t="shared" si="1"/>
        <v>58844.48907150481</v>
      </c>
      <c r="T14" s="21">
        <f t="shared" si="2"/>
        <v>7.6451871096414159</v>
      </c>
      <c r="U14" s="134"/>
      <c r="V14" s="134"/>
      <c r="W14" s="134"/>
      <c r="X14" s="135"/>
      <c r="Y14" s="20">
        <f t="shared" si="3"/>
        <v>58844.48907150481</v>
      </c>
      <c r="Z14" s="25">
        <f t="shared" si="0"/>
        <v>2.7807963155156799</v>
      </c>
    </row>
    <row r="15" spans="1:29" x14ac:dyDescent="0.25">
      <c r="A15" s="31" t="s">
        <v>35</v>
      </c>
      <c r="B15" s="18" t="s">
        <v>25</v>
      </c>
      <c r="C15" s="167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20">
        <f t="shared" si="1"/>
        <v>0</v>
      </c>
      <c r="T15" s="21">
        <f t="shared" si="2"/>
        <v>0</v>
      </c>
      <c r="U15" s="134"/>
      <c r="V15" s="134"/>
      <c r="W15" s="134"/>
      <c r="X15" s="135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165"/>
      <c r="D16" s="165"/>
      <c r="E16" s="165">
        <v>100</v>
      </c>
      <c r="F16" s="165"/>
      <c r="G16" s="165">
        <v>100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20">
        <f t="shared" si="1"/>
        <v>20685.875853253874</v>
      </c>
      <c r="T16" s="21">
        <f t="shared" si="2"/>
        <v>2.6875480426513096</v>
      </c>
      <c r="U16" s="134"/>
      <c r="V16" s="134"/>
      <c r="W16" s="134"/>
      <c r="X16" s="135"/>
      <c r="Y16" s="20">
        <f t="shared" si="3"/>
        <v>20685.875853253874</v>
      </c>
      <c r="Z16" s="25">
        <f t="shared" si="0"/>
        <v>0.97754621143950937</v>
      </c>
    </row>
    <row r="17" spans="1:27" x14ac:dyDescent="0.25">
      <c r="A17" s="34" t="s">
        <v>37</v>
      </c>
      <c r="B17" s="14" t="s">
        <v>25</v>
      </c>
      <c r="C17" s="165"/>
      <c r="D17" s="165"/>
      <c r="E17" s="165"/>
      <c r="F17" s="165"/>
      <c r="G17" s="165"/>
      <c r="H17" s="165"/>
      <c r="I17" s="165"/>
      <c r="J17" s="165">
        <v>15.000000000000002</v>
      </c>
      <c r="K17" s="165"/>
      <c r="L17" s="165"/>
      <c r="M17" s="165"/>
      <c r="N17" s="165"/>
      <c r="O17" s="165"/>
      <c r="P17" s="165"/>
      <c r="Q17" s="165"/>
      <c r="R17" s="165"/>
      <c r="S17" s="20">
        <f t="shared" si="1"/>
        <v>78448.2860017887</v>
      </c>
      <c r="T17" s="21">
        <f t="shared" si="2"/>
        <v>10.192149415819559</v>
      </c>
      <c r="U17" s="134"/>
      <c r="V17" s="134">
        <v>18.500000000000004</v>
      </c>
      <c r="W17" s="134"/>
      <c r="X17" s="135"/>
      <c r="Y17" s="20">
        <f t="shared" si="3"/>
        <v>161973.75100178871</v>
      </c>
      <c r="Z17" s="25">
        <f t="shared" si="0"/>
        <v>7.6543448180628388</v>
      </c>
    </row>
    <row r="18" spans="1:27" x14ac:dyDescent="0.25">
      <c r="A18" s="35" t="s">
        <v>38</v>
      </c>
      <c r="B18" s="258" t="s">
        <v>25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20">
        <f t="shared" si="1"/>
        <v>0</v>
      </c>
      <c r="T18" s="21">
        <f t="shared" si="2"/>
        <v>0</v>
      </c>
      <c r="U18" s="134"/>
      <c r="V18" s="134"/>
      <c r="W18" s="134"/>
      <c r="X18" s="135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20">
        <f t="shared" si="1"/>
        <v>0</v>
      </c>
      <c r="T19" s="21">
        <f t="shared" si="2"/>
        <v>0</v>
      </c>
      <c r="U19" s="165">
        <v>0.7646670993310597</v>
      </c>
      <c r="V19" s="134"/>
      <c r="W19" s="134"/>
      <c r="X19" s="135"/>
      <c r="Y19" s="20">
        <f t="shared" si="3"/>
        <v>6843.1576210571257</v>
      </c>
      <c r="Z19" s="25">
        <f t="shared" si="0"/>
        <v>0.32338504079804503</v>
      </c>
    </row>
    <row r="20" spans="1:27" x14ac:dyDescent="0.25">
      <c r="A20" s="3" t="s">
        <v>40</v>
      </c>
      <c r="B20" s="27" t="s">
        <v>25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20">
        <f t="shared" si="1"/>
        <v>0</v>
      </c>
      <c r="T20" s="21">
        <f t="shared" si="2"/>
        <v>0</v>
      </c>
      <c r="U20" s="165">
        <v>19.315077052321293</v>
      </c>
      <c r="V20" s="134"/>
      <c r="W20" s="134"/>
      <c r="X20" s="135"/>
      <c r="Y20" s="20">
        <f t="shared" si="3"/>
        <v>172854.45764245297</v>
      </c>
      <c r="Z20" s="25">
        <f t="shared" si="0"/>
        <v>8.1685310981034291</v>
      </c>
    </row>
    <row r="21" spans="1:27" x14ac:dyDescent="0.25">
      <c r="A21" s="3" t="s">
        <v>41</v>
      </c>
      <c r="B21" s="27" t="s">
        <v>25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20">
        <f t="shared" si="1"/>
        <v>0</v>
      </c>
      <c r="T21" s="21">
        <f t="shared" si="2"/>
        <v>0</v>
      </c>
      <c r="U21" s="165">
        <v>0.23469910795016358</v>
      </c>
      <c r="V21" s="134"/>
      <c r="W21" s="134"/>
      <c r="X21" s="135"/>
      <c r="Y21" s="20">
        <f t="shared" si="3"/>
        <v>2100.3688933779054</v>
      </c>
      <c r="Z21" s="25">
        <f t="shared" si="0"/>
        <v>9.9256500856549343E-2</v>
      </c>
    </row>
    <row r="22" spans="1:27" x14ac:dyDescent="0.25">
      <c r="A22" s="3" t="s">
        <v>42</v>
      </c>
      <c r="B22" s="27" t="s">
        <v>25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20">
        <f t="shared" si="1"/>
        <v>0</v>
      </c>
      <c r="T22" s="21">
        <f t="shared" si="2"/>
        <v>0</v>
      </c>
      <c r="U22" s="165">
        <v>15.179356527483678</v>
      </c>
      <c r="V22" s="134"/>
      <c r="W22" s="134"/>
      <c r="X22" s="135"/>
      <c r="Y22" s="20">
        <f t="shared" si="3"/>
        <v>135843.07392676375</v>
      </c>
      <c r="Z22" s="25">
        <f t="shared" si="0"/>
        <v>6.4194952734629744</v>
      </c>
    </row>
    <row r="23" spans="1:27" x14ac:dyDescent="0.25">
      <c r="A23" s="3" t="s">
        <v>43</v>
      </c>
      <c r="B23" s="27" t="s">
        <v>25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20">
        <f t="shared" si="1"/>
        <v>0</v>
      </c>
      <c r="T23" s="21">
        <f t="shared" si="2"/>
        <v>0</v>
      </c>
      <c r="U23" s="165">
        <v>0.586747769875409</v>
      </c>
      <c r="V23" s="134"/>
      <c r="W23" s="134"/>
      <c r="X23" s="135"/>
      <c r="Y23" s="20">
        <f t="shared" si="3"/>
        <v>5250.9222334447641</v>
      </c>
      <c r="Z23" s="25">
        <f t="shared" si="0"/>
        <v>0.24814125214137336</v>
      </c>
    </row>
    <row r="24" spans="1:27" x14ac:dyDescent="0.25">
      <c r="A24" s="3" t="s">
        <v>44</v>
      </c>
      <c r="B24" s="27" t="s">
        <v>25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20">
        <f t="shared" si="1"/>
        <v>0</v>
      </c>
      <c r="T24" s="21">
        <f t="shared" si="2"/>
        <v>0</v>
      </c>
      <c r="U24" s="165">
        <v>4.1710483650025987</v>
      </c>
      <c r="V24" s="134"/>
      <c r="W24" s="134"/>
      <c r="X24" s="135"/>
      <c r="Y24" s="20">
        <f t="shared" si="3"/>
        <v>37327.539568179782</v>
      </c>
      <c r="Z24" s="25">
        <f t="shared" si="0"/>
        <v>1.7639763066398162</v>
      </c>
    </row>
    <row r="25" spans="1:27" x14ac:dyDescent="0.25">
      <c r="A25" s="3" t="s">
        <v>45</v>
      </c>
      <c r="B25" s="27" t="s">
        <v>25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20">
        <f t="shared" si="1"/>
        <v>0</v>
      </c>
      <c r="T25" s="21">
        <f t="shared" si="2"/>
        <v>0</v>
      </c>
      <c r="U25" s="165">
        <v>33.926693211829559</v>
      </c>
      <c r="V25" s="134"/>
      <c r="W25" s="134"/>
      <c r="X25" s="135"/>
      <c r="Y25" s="20">
        <f t="shared" si="3"/>
        <v>303616.71034741774</v>
      </c>
      <c r="Z25" s="25">
        <f t="shared" si="0"/>
        <v>14.347923531754097</v>
      </c>
    </row>
    <row r="26" spans="1:27" x14ac:dyDescent="0.25">
      <c r="A26" s="3" t="s">
        <v>46</v>
      </c>
      <c r="B26" s="27" t="s">
        <v>25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20">
        <f t="shared" si="1"/>
        <v>0</v>
      </c>
      <c r="T26" s="21">
        <f t="shared" si="2"/>
        <v>0</v>
      </c>
      <c r="U26" s="165">
        <v>0</v>
      </c>
      <c r="V26" s="134"/>
      <c r="W26" s="134"/>
      <c r="X26" s="135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20">
        <f t="shared" si="1"/>
        <v>0</v>
      </c>
      <c r="T27" s="21">
        <f t="shared" si="2"/>
        <v>0</v>
      </c>
      <c r="U27" s="165">
        <v>22.450103945285147</v>
      </c>
      <c r="V27" s="134"/>
      <c r="W27" s="134"/>
      <c r="X27" s="135"/>
      <c r="Y27" s="20">
        <f t="shared" si="3"/>
        <v>200910.43545759949</v>
      </c>
      <c r="Z27" s="25">
        <f t="shared" si="0"/>
        <v>9.4943640005141479</v>
      </c>
    </row>
    <row r="28" spans="1:27" x14ac:dyDescent="0.25">
      <c r="A28" s="3" t="s">
        <v>48</v>
      </c>
      <c r="B28" s="27" t="s">
        <v>25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20">
        <f t="shared" si="1"/>
        <v>0</v>
      </c>
      <c r="T28" s="21">
        <f t="shared" si="2"/>
        <v>0</v>
      </c>
      <c r="U28" s="165">
        <v>0.62586428786710291</v>
      </c>
      <c r="V28" s="134"/>
      <c r="W28" s="134"/>
      <c r="X28" s="135"/>
      <c r="Y28" s="20">
        <f t="shared" si="3"/>
        <v>5600.9837156744152</v>
      </c>
      <c r="Z28" s="25">
        <f t="shared" si="0"/>
        <v>0.26468400228413158</v>
      </c>
    </row>
    <row r="29" spans="1:27" x14ac:dyDescent="0.25">
      <c r="A29" s="9" t="s">
        <v>49</v>
      </c>
      <c r="B29" s="30" t="s">
        <v>25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39">
        <f>C29/100*$C$31+D29/100*$D$31+E29/100*$E$31+F29/100*$F$31+G29/100*$G$31+H29/100*$H$31+I29/100*$I$31+J29/100*$J$31+K29/100*$K$31+L29/100*$L$31+M29/100*$M$31+N29/100*$N$31+O29/100*$O$31+P29/100*$P$31+Q29/100*$Q$31+R29/100*$R$31</f>
        <v>0</v>
      </c>
      <c r="T29" s="40">
        <f>S29*100/$S$31</f>
        <v>0</v>
      </c>
      <c r="U29" s="168">
        <v>2.7457426330539896</v>
      </c>
      <c r="V29" s="137"/>
      <c r="W29" s="137"/>
      <c r="X29" s="138"/>
      <c r="Y29" s="39">
        <f t="shared" si="3"/>
        <v>24572.195719264237</v>
      </c>
      <c r="Z29" s="42">
        <f>Y29*100/$Y$31</f>
        <v>1.1612008600708337</v>
      </c>
    </row>
    <row r="30" spans="1:27" s="163" customFormat="1" x14ac:dyDescent="0.25">
      <c r="A30" s="275" t="s">
        <v>50</v>
      </c>
      <c r="B30" s="276" t="s">
        <v>25</v>
      </c>
      <c r="C30" s="171">
        <f t="shared" ref="C30:R30" si="4">SUM(C6:C29)</f>
        <v>0</v>
      </c>
      <c r="D30" s="171">
        <f t="shared" si="4"/>
        <v>0</v>
      </c>
      <c r="E30" s="171">
        <f t="shared" si="4"/>
        <v>100</v>
      </c>
      <c r="F30" s="171">
        <f t="shared" si="4"/>
        <v>0</v>
      </c>
      <c r="G30" s="171">
        <f t="shared" si="4"/>
        <v>100</v>
      </c>
      <c r="H30" s="171">
        <f t="shared" si="4"/>
        <v>100</v>
      </c>
      <c r="I30" s="171">
        <f t="shared" si="4"/>
        <v>0</v>
      </c>
      <c r="J30" s="171">
        <f t="shared" si="4"/>
        <v>100</v>
      </c>
      <c r="K30" s="171">
        <f t="shared" si="4"/>
        <v>0</v>
      </c>
      <c r="L30" s="171">
        <f t="shared" si="4"/>
        <v>0</v>
      </c>
      <c r="M30" s="171">
        <f t="shared" si="4"/>
        <v>0</v>
      </c>
      <c r="N30" s="171">
        <f t="shared" si="4"/>
        <v>0</v>
      </c>
      <c r="O30" s="171">
        <f t="shared" si="4"/>
        <v>0</v>
      </c>
      <c r="P30" s="171">
        <f t="shared" si="4"/>
        <v>0</v>
      </c>
      <c r="Q30" s="171">
        <f t="shared" si="4"/>
        <v>0</v>
      </c>
      <c r="R30" s="171">
        <f t="shared" si="4"/>
        <v>0</v>
      </c>
      <c r="S30" s="277">
        <f>+SUM(S6:S29)</f>
        <v>769693.24919851194</v>
      </c>
      <c r="T30" s="278">
        <f>+SUM(T6:T29)</f>
        <v>100.00000000000001</v>
      </c>
      <c r="U30" s="171">
        <f>SUM(U6:U29)</f>
        <v>100</v>
      </c>
      <c r="V30" s="171">
        <f t="shared" ref="V30" si="5">SUM(V6:V29)</f>
        <v>100.00000000000001</v>
      </c>
      <c r="W30" s="171">
        <f>SUM(W6:W29)</f>
        <v>0</v>
      </c>
      <c r="X30" s="171">
        <f>SUM(X6:X29)</f>
        <v>0</v>
      </c>
      <c r="Y30" s="279">
        <f>SUM(Y6:Y29)</f>
        <v>2116102.0943237445</v>
      </c>
      <c r="Z30" s="280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2059.3321598876896</v>
      </c>
      <c r="F31" s="47">
        <v>0</v>
      </c>
      <c r="G31" s="47">
        <v>18626.543693366184</v>
      </c>
      <c r="H31" s="47">
        <v>226018.80000000002</v>
      </c>
      <c r="I31" s="47">
        <v>0</v>
      </c>
      <c r="J31" s="47">
        <v>522988.57334525796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8">
        <f>SUM(C31:R31)</f>
        <v>769693.24919851182</v>
      </c>
      <c r="T31" s="48">
        <f>S31*100/$S$31</f>
        <v>100</v>
      </c>
      <c r="U31" s="47">
        <v>894919.84512523224</v>
      </c>
      <c r="V31" s="47">
        <v>451489</v>
      </c>
      <c r="W31" s="47">
        <v>0</v>
      </c>
      <c r="X31" s="141">
        <v>0</v>
      </c>
      <c r="Y31" s="48">
        <f>+S31+U31+V31+W31+X31</f>
        <v>2116102.0943237441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</sheetData>
  <mergeCells count="3">
    <mergeCell ref="A1:Z2"/>
    <mergeCell ref="S4:T4"/>
    <mergeCell ref="Y4:Z4"/>
  </mergeCells>
  <pageMargins left="0.26" right="0.26" top="0.74803149606299213" bottom="0.74803149606299213" header="0.31496062992125984" footer="0.31496062992125984"/>
  <pageSetup paperSize="9"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7"/>
  <sheetViews>
    <sheetView zoomScale="90" zoomScaleNormal="90" workbookViewId="0">
      <selection activeCell="N35" sqref="N35"/>
    </sheetView>
  </sheetViews>
  <sheetFormatPr defaultRowHeight="15" x14ac:dyDescent="0.25"/>
  <cols>
    <col min="1" max="1" width="34.140625" customWidth="1"/>
    <col min="2" max="2" width="6.42578125" customWidth="1"/>
    <col min="3" max="3" width="9" customWidth="1"/>
    <col min="4" max="4" width="12.42578125" customWidth="1"/>
    <col min="5" max="5" width="12.85546875" customWidth="1"/>
    <col min="6" max="6" width="9.28515625" customWidth="1"/>
    <col min="7" max="7" width="8.140625" bestFit="1" customWidth="1"/>
    <col min="8" max="8" width="8.28515625" bestFit="1" customWidth="1"/>
    <col min="9" max="9" width="11" customWidth="1"/>
    <col min="10" max="10" width="9.140625" bestFit="1" customWidth="1"/>
    <col min="11" max="11" width="6.85546875" customWidth="1"/>
    <col min="12" max="12" width="6.42578125" customWidth="1"/>
    <col min="13" max="13" width="7" customWidth="1"/>
    <col min="14" max="14" width="7.85546875" bestFit="1" customWidth="1"/>
    <col min="15" max="15" width="9.140625" customWidth="1"/>
    <col min="16" max="16" width="7" bestFit="1" customWidth="1"/>
    <col min="17" max="17" width="7.28515625" bestFit="1" customWidth="1"/>
    <col min="18" max="18" width="8" customWidth="1"/>
    <col min="19" max="19" width="9.7109375" customWidth="1"/>
    <col min="20" max="20" width="6.42578125" customWidth="1"/>
    <col min="21" max="21" width="10.140625" customWidth="1"/>
    <col min="22" max="22" width="11.140625" customWidth="1"/>
    <col min="23" max="23" width="9.28515625" bestFit="1" customWidth="1"/>
    <col min="24" max="24" width="13.28515625" customWidth="1"/>
    <col min="25" max="25" width="10.42578125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129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64"/>
      <c r="D6" s="164"/>
      <c r="E6" s="164"/>
      <c r="F6" s="164">
        <v>15</v>
      </c>
      <c r="G6" s="164"/>
      <c r="H6" s="164">
        <v>15</v>
      </c>
      <c r="I6" s="164"/>
      <c r="J6" s="165">
        <v>15</v>
      </c>
      <c r="K6" s="164"/>
      <c r="L6" s="164"/>
      <c r="M6" s="164"/>
      <c r="N6" s="164"/>
      <c r="O6" s="164"/>
      <c r="P6" s="164"/>
      <c r="Q6" s="164">
        <v>15</v>
      </c>
      <c r="R6" s="164"/>
      <c r="S6" s="24">
        <f>C6/100*$C$31+D6/100*$D$31+E6/100*$E$31+F6/100*$F$31+G6/100*$G$31+H6/100*$H$31+I6/100*$I$31+J6/100*$J$31+K6/100*$K$31+L6/100*$L$31+M6/100*$M$31+N6/100*$N$31+O6/100*$O$31+P6/100*$P$31+Q6/100*$Q$31+R6/100*$R$31</f>
        <v>84454.117416957466</v>
      </c>
      <c r="T6" s="140">
        <f>S6*100/$S$31</f>
        <v>14.555437926068368</v>
      </c>
      <c r="U6" s="165"/>
      <c r="V6" s="165"/>
      <c r="W6" s="165"/>
      <c r="X6" s="166"/>
      <c r="Y6" s="20">
        <f>U6/100*$U$31+V6/100*$V$31+W6/100*$W$31+X6/100*$X$31+S6</f>
        <v>84454.117416957466</v>
      </c>
      <c r="Z6" s="25">
        <f t="shared" ref="Z6:Z28" si="0">Y6*100/$Y$31</f>
        <v>5.4244231832085887</v>
      </c>
    </row>
    <row r="7" spans="1:29" x14ac:dyDescent="0.25">
      <c r="A7" s="26" t="s">
        <v>27</v>
      </c>
      <c r="B7" s="18" t="s">
        <v>25</v>
      </c>
      <c r="C7" s="165"/>
      <c r="D7" s="165"/>
      <c r="E7" s="165"/>
      <c r="F7" s="165">
        <v>20</v>
      </c>
      <c r="G7" s="165"/>
      <c r="H7" s="165">
        <v>20</v>
      </c>
      <c r="I7" s="165"/>
      <c r="J7" s="165">
        <v>24.5</v>
      </c>
      <c r="K7" s="165"/>
      <c r="L7" s="165"/>
      <c r="M7" s="165"/>
      <c r="N7" s="165"/>
      <c r="O7" s="165"/>
      <c r="P7" s="165"/>
      <c r="Q7" s="165"/>
      <c r="R7" s="165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133260.25111436387</v>
      </c>
      <c r="T7" s="21">
        <f t="shared" ref="T7:T28" si="2">S7*100/$S$31</f>
        <v>22.967042607657913</v>
      </c>
      <c r="U7" s="165"/>
      <c r="V7" s="165"/>
      <c r="W7" s="165"/>
      <c r="X7" s="166"/>
      <c r="Y7" s="20">
        <f t="shared" ref="Y7:Y29" si="3">U7/100*$U$31+V7/100*$V$31+W7/100*$W$31+X7/100*$X$31+S7</f>
        <v>133260.25111436387</v>
      </c>
      <c r="Z7" s="25">
        <f t="shared" si="0"/>
        <v>8.5592037150317921</v>
      </c>
    </row>
    <row r="8" spans="1:29" x14ac:dyDescent="0.25">
      <c r="A8" s="3" t="s">
        <v>28</v>
      </c>
      <c r="B8" s="27" t="s">
        <v>25</v>
      </c>
      <c r="C8" s="165"/>
      <c r="D8" s="165"/>
      <c r="E8" s="165"/>
      <c r="F8" s="165">
        <v>30</v>
      </c>
      <c r="G8" s="165"/>
      <c r="H8" s="165">
        <v>30</v>
      </c>
      <c r="I8" s="165"/>
      <c r="J8" s="165">
        <v>2</v>
      </c>
      <c r="K8" s="165"/>
      <c r="L8" s="165"/>
      <c r="M8" s="165"/>
      <c r="N8" s="165"/>
      <c r="O8" s="165"/>
      <c r="P8" s="165"/>
      <c r="Q8" s="165"/>
      <c r="R8" s="165"/>
      <c r="S8" s="20">
        <f t="shared" si="1"/>
        <v>35901.564988927654</v>
      </c>
      <c r="T8" s="21">
        <f t="shared" si="2"/>
        <v>6.1875372880294988</v>
      </c>
      <c r="U8" s="165"/>
      <c r="V8" s="165"/>
      <c r="W8" s="165"/>
      <c r="X8" s="166"/>
      <c r="Y8" s="20">
        <f t="shared" si="3"/>
        <v>35901.564988927654</v>
      </c>
      <c r="Z8" s="25">
        <f t="shared" si="0"/>
        <v>2.3059299818140806</v>
      </c>
    </row>
    <row r="9" spans="1:29" x14ac:dyDescent="0.25">
      <c r="A9" s="3" t="s">
        <v>29</v>
      </c>
      <c r="B9" s="27" t="s">
        <v>25</v>
      </c>
      <c r="C9" s="165"/>
      <c r="D9" s="165"/>
      <c r="E9" s="165"/>
      <c r="F9" s="165">
        <v>10</v>
      </c>
      <c r="G9" s="165"/>
      <c r="H9" s="165">
        <v>10</v>
      </c>
      <c r="I9" s="165"/>
      <c r="J9" s="165">
        <v>3</v>
      </c>
      <c r="K9" s="165"/>
      <c r="L9" s="165"/>
      <c r="M9" s="165"/>
      <c r="N9" s="165"/>
      <c r="O9" s="165"/>
      <c r="P9" s="165"/>
      <c r="Q9" s="165"/>
      <c r="R9" s="165"/>
      <c r="S9" s="20">
        <f t="shared" si="1"/>
        <v>22978.427483391497</v>
      </c>
      <c r="T9" s="21">
        <f t="shared" si="2"/>
        <v>3.9602696126928225</v>
      </c>
      <c r="U9" s="165"/>
      <c r="V9" s="165"/>
      <c r="W9" s="165"/>
      <c r="X9" s="166"/>
      <c r="Y9" s="20">
        <f t="shared" si="3"/>
        <v>22978.427483391497</v>
      </c>
      <c r="Z9" s="25">
        <f t="shared" si="0"/>
        <v>1.4758867722127058</v>
      </c>
    </row>
    <row r="10" spans="1:29" x14ac:dyDescent="0.25">
      <c r="A10" s="3" t="s">
        <v>30</v>
      </c>
      <c r="B10" s="27" t="s">
        <v>25</v>
      </c>
      <c r="C10" s="165"/>
      <c r="D10" s="165"/>
      <c r="E10" s="165"/>
      <c r="F10" s="165"/>
      <c r="G10" s="165"/>
      <c r="H10" s="165"/>
      <c r="I10" s="165"/>
      <c r="J10" s="165">
        <v>46</v>
      </c>
      <c r="K10" s="165"/>
      <c r="L10" s="165"/>
      <c r="M10" s="165"/>
      <c r="N10" s="165"/>
      <c r="O10" s="165"/>
      <c r="P10" s="165"/>
      <c r="Q10" s="165"/>
      <c r="R10" s="165"/>
      <c r="S10" s="20">
        <f t="shared" si="1"/>
        <v>217078.7147453363</v>
      </c>
      <c r="T10" s="21">
        <f t="shared" si="2"/>
        <v>37.412927328893218</v>
      </c>
      <c r="U10" s="165"/>
      <c r="V10" s="165"/>
      <c r="W10" s="165"/>
      <c r="X10" s="166"/>
      <c r="Y10" s="20">
        <f t="shared" si="3"/>
        <v>217078.7147453363</v>
      </c>
      <c r="Z10" s="25">
        <f t="shared" si="0"/>
        <v>13.942799343129382</v>
      </c>
    </row>
    <row r="11" spans="1:29" x14ac:dyDescent="0.25">
      <c r="A11" s="3" t="s">
        <v>31</v>
      </c>
      <c r="B11" s="27" t="s">
        <v>25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20">
        <f t="shared" si="1"/>
        <v>0</v>
      </c>
      <c r="T11" s="21">
        <f t="shared" si="2"/>
        <v>0</v>
      </c>
      <c r="U11" s="165"/>
      <c r="V11" s="165"/>
      <c r="W11" s="165"/>
      <c r="X11" s="166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20">
        <f t="shared" si="1"/>
        <v>0</v>
      </c>
      <c r="T12" s="21">
        <f t="shared" si="2"/>
        <v>0</v>
      </c>
      <c r="U12" s="165"/>
      <c r="V12" s="165"/>
      <c r="W12" s="165"/>
      <c r="X12" s="166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165"/>
      <c r="D13" s="165"/>
      <c r="E13" s="165"/>
      <c r="F13" s="165"/>
      <c r="G13" s="165"/>
      <c r="H13" s="165"/>
      <c r="I13" s="165"/>
      <c r="J13" s="165">
        <v>7.0000000000000009</v>
      </c>
      <c r="K13" s="165"/>
      <c r="L13" s="165"/>
      <c r="M13" s="165"/>
      <c r="N13" s="165"/>
      <c r="O13" s="165"/>
      <c r="P13" s="165"/>
      <c r="Q13" s="165"/>
      <c r="R13" s="165"/>
      <c r="S13" s="20">
        <f t="shared" si="1"/>
        <v>33033.71746124683</v>
      </c>
      <c r="T13" s="21">
        <f t="shared" si="2"/>
        <v>5.6932715500489683</v>
      </c>
      <c r="U13" s="165"/>
      <c r="V13" s="165"/>
      <c r="W13" s="165"/>
      <c r="X13" s="166"/>
      <c r="Y13" s="20">
        <f t="shared" si="3"/>
        <v>33033.71746124683</v>
      </c>
      <c r="Z13" s="25">
        <f t="shared" si="0"/>
        <v>2.1217303348240364</v>
      </c>
    </row>
    <row r="14" spans="1:29" x14ac:dyDescent="0.25">
      <c r="A14" s="29" t="s">
        <v>34</v>
      </c>
      <c r="B14" s="30" t="s">
        <v>25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20">
        <f t="shared" si="1"/>
        <v>0</v>
      </c>
      <c r="T14" s="21">
        <f t="shared" si="2"/>
        <v>0</v>
      </c>
      <c r="U14" s="165"/>
      <c r="V14" s="165"/>
      <c r="W14" s="165"/>
      <c r="X14" s="166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167">
        <v>100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20">
        <f t="shared" si="1"/>
        <v>1724.4507713218948</v>
      </c>
      <c r="T15" s="21">
        <f t="shared" si="2"/>
        <v>0.29720441023159311</v>
      </c>
      <c r="U15" s="165"/>
      <c r="V15" s="165"/>
      <c r="W15" s="165"/>
      <c r="X15" s="166"/>
      <c r="Y15" s="20">
        <f t="shared" si="3"/>
        <v>1724.4507713218948</v>
      </c>
      <c r="Z15" s="25">
        <f t="shared" si="0"/>
        <v>0.11076015034386241</v>
      </c>
    </row>
    <row r="16" spans="1:29" x14ac:dyDescent="0.25">
      <c r="A16" s="29" t="s">
        <v>36</v>
      </c>
      <c r="B16" s="30" t="s">
        <v>25</v>
      </c>
      <c r="C16" s="165"/>
      <c r="D16" s="165"/>
      <c r="E16" s="165">
        <v>100</v>
      </c>
      <c r="F16" s="165"/>
      <c r="G16" s="165">
        <v>100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20">
        <f t="shared" si="1"/>
        <v>15471.916103908825</v>
      </c>
      <c r="T16" s="21">
        <f t="shared" si="2"/>
        <v>2.6665427493125948</v>
      </c>
      <c r="U16" s="165"/>
      <c r="V16" s="165"/>
      <c r="W16" s="165"/>
      <c r="X16" s="166"/>
      <c r="Y16" s="20">
        <f t="shared" si="3"/>
        <v>15471.916103908825</v>
      </c>
      <c r="Z16" s="25">
        <f t="shared" si="0"/>
        <v>0.99374930399604011</v>
      </c>
    </row>
    <row r="17" spans="1:27" x14ac:dyDescent="0.25">
      <c r="A17" s="34" t="s">
        <v>37</v>
      </c>
      <c r="B17" s="14" t="s">
        <v>25</v>
      </c>
      <c r="C17" s="165"/>
      <c r="D17" s="165"/>
      <c r="E17" s="165"/>
      <c r="F17" s="165">
        <v>25</v>
      </c>
      <c r="G17" s="165"/>
      <c r="H17" s="165">
        <v>25</v>
      </c>
      <c r="I17" s="165"/>
      <c r="J17" s="165">
        <v>2.5</v>
      </c>
      <c r="K17" s="165"/>
      <c r="L17" s="165"/>
      <c r="M17" s="165"/>
      <c r="N17" s="165"/>
      <c r="O17" s="165"/>
      <c r="P17" s="165"/>
      <c r="Q17" s="165">
        <v>85</v>
      </c>
      <c r="R17" s="165"/>
      <c r="S17" s="20">
        <f t="shared" si="1"/>
        <v>36320.656236159579</v>
      </c>
      <c r="T17" s="21">
        <f t="shared" si="2"/>
        <v>6.2597665270650138</v>
      </c>
      <c r="U17" s="165"/>
      <c r="V17" s="165">
        <v>100</v>
      </c>
      <c r="W17" s="165"/>
      <c r="X17" s="166">
        <v>100</v>
      </c>
      <c r="Y17" s="20">
        <f t="shared" si="3"/>
        <v>190723.92269417396</v>
      </c>
      <c r="Z17" s="25">
        <f t="shared" si="0"/>
        <v>12.250051264487315</v>
      </c>
    </row>
    <row r="18" spans="1:27" x14ac:dyDescent="0.25">
      <c r="A18" s="35" t="s">
        <v>38</v>
      </c>
      <c r="B18" s="258" t="s">
        <v>25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20">
        <f t="shared" si="1"/>
        <v>0</v>
      </c>
      <c r="T18" s="21">
        <f t="shared" si="2"/>
        <v>0</v>
      </c>
      <c r="U18" s="165">
        <v>1</v>
      </c>
      <c r="V18" s="165"/>
      <c r="W18" s="165"/>
      <c r="X18" s="166"/>
      <c r="Y18" s="20">
        <f t="shared" si="3"/>
        <v>8222.9638289662798</v>
      </c>
      <c r="Z18" s="25">
        <f t="shared" si="0"/>
        <v>0.5281546595095219</v>
      </c>
    </row>
    <row r="19" spans="1:27" x14ac:dyDescent="0.25">
      <c r="A19" s="37" t="s">
        <v>39</v>
      </c>
      <c r="B19" s="27" t="s">
        <v>25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20">
        <f t="shared" si="1"/>
        <v>0</v>
      </c>
      <c r="T19" s="21">
        <f t="shared" si="2"/>
        <v>0</v>
      </c>
      <c r="U19" s="165">
        <v>1</v>
      </c>
      <c r="V19" s="165"/>
      <c r="W19" s="165"/>
      <c r="X19" s="166"/>
      <c r="Y19" s="20">
        <f t="shared" si="3"/>
        <v>8222.9638289662798</v>
      </c>
      <c r="Z19" s="25">
        <f t="shared" si="0"/>
        <v>0.5281546595095219</v>
      </c>
    </row>
    <row r="20" spans="1:27" x14ac:dyDescent="0.25">
      <c r="A20" s="3" t="s">
        <v>40</v>
      </c>
      <c r="B20" s="27" t="s">
        <v>25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20">
        <f t="shared" si="1"/>
        <v>0</v>
      </c>
      <c r="T20" s="21">
        <f t="shared" si="2"/>
        <v>0</v>
      </c>
      <c r="U20" s="165">
        <v>27</v>
      </c>
      <c r="V20" s="165"/>
      <c r="W20" s="165"/>
      <c r="X20" s="166"/>
      <c r="Y20" s="20">
        <f t="shared" si="3"/>
        <v>222020.02338208954</v>
      </c>
      <c r="Z20" s="25">
        <f t="shared" si="0"/>
        <v>14.26017580675709</v>
      </c>
    </row>
    <row r="21" spans="1:27" x14ac:dyDescent="0.25">
      <c r="A21" s="3" t="s">
        <v>41</v>
      </c>
      <c r="B21" s="27" t="s">
        <v>25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20">
        <f t="shared" si="1"/>
        <v>0</v>
      </c>
      <c r="T21" s="21">
        <f t="shared" si="2"/>
        <v>0</v>
      </c>
      <c r="U21" s="165">
        <v>0.5</v>
      </c>
      <c r="V21" s="165"/>
      <c r="W21" s="165"/>
      <c r="X21" s="166"/>
      <c r="Y21" s="20">
        <f t="shared" si="3"/>
        <v>4111.4819144831399</v>
      </c>
      <c r="Z21" s="25">
        <f t="shared" si="0"/>
        <v>0.26407732975476095</v>
      </c>
    </row>
    <row r="22" spans="1:27" x14ac:dyDescent="0.25">
      <c r="A22" s="3" t="s">
        <v>42</v>
      </c>
      <c r="B22" s="27" t="s">
        <v>25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20">
        <f t="shared" si="1"/>
        <v>0</v>
      </c>
      <c r="T22" s="21">
        <f t="shared" si="2"/>
        <v>0</v>
      </c>
      <c r="U22" s="165">
        <v>12</v>
      </c>
      <c r="V22" s="165"/>
      <c r="W22" s="165"/>
      <c r="X22" s="166"/>
      <c r="Y22" s="20">
        <f t="shared" si="3"/>
        <v>98675.565947595343</v>
      </c>
      <c r="Z22" s="25">
        <f t="shared" si="0"/>
        <v>6.3378559141142619</v>
      </c>
    </row>
    <row r="23" spans="1:27" x14ac:dyDescent="0.25">
      <c r="A23" s="3" t="s">
        <v>43</v>
      </c>
      <c r="B23" s="27" t="s">
        <v>25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20">
        <f t="shared" si="1"/>
        <v>0</v>
      </c>
      <c r="T23" s="21">
        <f t="shared" si="2"/>
        <v>0</v>
      </c>
      <c r="U23" s="165">
        <v>11.5</v>
      </c>
      <c r="V23" s="165"/>
      <c r="W23" s="165"/>
      <c r="X23" s="166"/>
      <c r="Y23" s="20">
        <f t="shared" si="3"/>
        <v>94564.084033112216</v>
      </c>
      <c r="Z23" s="25">
        <f t="shared" si="0"/>
        <v>6.0737785843595011</v>
      </c>
    </row>
    <row r="24" spans="1:27" x14ac:dyDescent="0.25">
      <c r="A24" s="3" t="s">
        <v>44</v>
      </c>
      <c r="B24" s="27" t="s">
        <v>25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20">
        <f t="shared" si="1"/>
        <v>0</v>
      </c>
      <c r="T24" s="21">
        <f t="shared" si="2"/>
        <v>0</v>
      </c>
      <c r="U24" s="165">
        <v>15.5</v>
      </c>
      <c r="V24" s="165"/>
      <c r="W24" s="165"/>
      <c r="X24" s="166"/>
      <c r="Y24" s="20">
        <f t="shared" si="3"/>
        <v>127455.93934897732</v>
      </c>
      <c r="Z24" s="25">
        <f t="shared" si="0"/>
        <v>8.1863972223975878</v>
      </c>
    </row>
    <row r="25" spans="1:27" x14ac:dyDescent="0.25">
      <c r="A25" s="3" t="s">
        <v>45</v>
      </c>
      <c r="B25" s="27" t="s">
        <v>25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20">
        <f t="shared" si="1"/>
        <v>0</v>
      </c>
      <c r="T25" s="21">
        <f t="shared" si="2"/>
        <v>0</v>
      </c>
      <c r="U25" s="165">
        <v>4</v>
      </c>
      <c r="V25" s="165"/>
      <c r="W25" s="165"/>
      <c r="X25" s="166"/>
      <c r="Y25" s="20">
        <f t="shared" si="3"/>
        <v>32891.855315865119</v>
      </c>
      <c r="Z25" s="25">
        <f t="shared" si="0"/>
        <v>2.1126186380380876</v>
      </c>
    </row>
    <row r="26" spans="1:27" x14ac:dyDescent="0.25">
      <c r="A26" s="3" t="s">
        <v>46</v>
      </c>
      <c r="B26" s="27" t="s">
        <v>25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20">
        <f t="shared" si="1"/>
        <v>0</v>
      </c>
      <c r="T26" s="21">
        <f t="shared" si="2"/>
        <v>0</v>
      </c>
      <c r="U26" s="165"/>
      <c r="V26" s="165"/>
      <c r="W26" s="165"/>
      <c r="X26" s="166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20">
        <f t="shared" si="1"/>
        <v>0</v>
      </c>
      <c r="T27" s="21">
        <f t="shared" si="2"/>
        <v>0</v>
      </c>
      <c r="U27" s="165">
        <v>27.5</v>
      </c>
      <c r="V27" s="165"/>
      <c r="W27" s="165"/>
      <c r="X27" s="166"/>
      <c r="Y27" s="20">
        <f t="shared" si="3"/>
        <v>226131.50529657269</v>
      </c>
      <c r="Z27" s="25">
        <f t="shared" si="0"/>
        <v>14.524253136511852</v>
      </c>
    </row>
    <row r="28" spans="1:27" x14ac:dyDescent="0.25">
      <c r="A28" s="3" t="s">
        <v>48</v>
      </c>
      <c r="B28" s="27" t="s">
        <v>25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20">
        <f t="shared" si="1"/>
        <v>0</v>
      </c>
      <c r="T28" s="21">
        <f t="shared" si="2"/>
        <v>0</v>
      </c>
      <c r="U28" s="165"/>
      <c r="V28" s="165"/>
      <c r="W28" s="165"/>
      <c r="X28" s="166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39">
        <f t="shared" si="1"/>
        <v>0</v>
      </c>
      <c r="T29" s="40">
        <f>S29*100/$S$31</f>
        <v>0</v>
      </c>
      <c r="U29" s="169"/>
      <c r="V29" s="168"/>
      <c r="W29" s="168"/>
      <c r="X29" s="170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171">
        <f t="shared" ref="C30:R30" si="4">SUM(C6:C29)</f>
        <v>100</v>
      </c>
      <c r="D30" s="171">
        <f t="shared" si="4"/>
        <v>0</v>
      </c>
      <c r="E30" s="171">
        <f t="shared" si="4"/>
        <v>100</v>
      </c>
      <c r="F30" s="171">
        <f t="shared" si="4"/>
        <v>100</v>
      </c>
      <c r="G30" s="171">
        <f t="shared" si="4"/>
        <v>100</v>
      </c>
      <c r="H30" s="171">
        <f t="shared" si="4"/>
        <v>100</v>
      </c>
      <c r="I30" s="171">
        <f t="shared" si="4"/>
        <v>0</v>
      </c>
      <c r="J30" s="171">
        <f t="shared" si="4"/>
        <v>100</v>
      </c>
      <c r="K30" s="171">
        <f t="shared" si="4"/>
        <v>0</v>
      </c>
      <c r="L30" s="171">
        <f t="shared" si="4"/>
        <v>0</v>
      </c>
      <c r="M30" s="171">
        <f t="shared" si="4"/>
        <v>0</v>
      </c>
      <c r="N30" s="171">
        <f t="shared" si="4"/>
        <v>0</v>
      </c>
      <c r="O30" s="171">
        <f t="shared" si="4"/>
        <v>0</v>
      </c>
      <c r="P30" s="171">
        <f t="shared" si="4"/>
        <v>0</v>
      </c>
      <c r="Q30" s="171">
        <f t="shared" si="4"/>
        <v>100</v>
      </c>
      <c r="R30" s="171">
        <f t="shared" si="4"/>
        <v>0</v>
      </c>
      <c r="S30" s="172">
        <f>+SUM(S6:S29)</f>
        <v>580223.81632161397</v>
      </c>
      <c r="T30" s="21">
        <f>+SUM(T6:T29)</f>
        <v>99.999999999999972</v>
      </c>
      <c r="U30" s="171">
        <f>SUM(U6:U29)</f>
        <v>100</v>
      </c>
      <c r="V30" s="171">
        <f t="shared" ref="V30" si="5">SUM(V6:V29)</f>
        <v>100</v>
      </c>
      <c r="W30" s="171">
        <f>SUM(W6:W29)</f>
        <v>0</v>
      </c>
      <c r="X30" s="171">
        <f>SUM(X6:X29)</f>
        <v>100</v>
      </c>
      <c r="Y30" s="39">
        <f>SUM(Y6:Y29)</f>
        <v>1556923.465676256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1724.4507713218948</v>
      </c>
      <c r="D31" s="47">
        <v>0</v>
      </c>
      <c r="E31" s="47">
        <v>1639.0678618001884</v>
      </c>
      <c r="F31" s="47">
        <v>84061</v>
      </c>
      <c r="G31" s="47">
        <v>13832.848242108637</v>
      </c>
      <c r="H31" s="47">
        <v>4150.1999999999825</v>
      </c>
      <c r="I31" s="47">
        <v>0</v>
      </c>
      <c r="J31" s="47">
        <v>471910.24944638321</v>
      </c>
      <c r="K31" s="47">
        <v>0</v>
      </c>
      <c r="L31" s="47">
        <v>0</v>
      </c>
      <c r="M31" s="47"/>
      <c r="N31" s="47"/>
      <c r="O31" s="47"/>
      <c r="P31" s="47"/>
      <c r="Q31" s="47">
        <v>2906</v>
      </c>
      <c r="R31" s="47">
        <v>0</v>
      </c>
      <c r="S31" s="48">
        <f>SUM(C31:R31)</f>
        <v>580223.81632161397</v>
      </c>
      <c r="T31" s="48">
        <f>S31*100/$S$31</f>
        <v>100</v>
      </c>
      <c r="U31" s="47">
        <v>822296.38289662788</v>
      </c>
      <c r="V31" s="47">
        <v>127848.26645801438</v>
      </c>
      <c r="W31" s="47">
        <v>0</v>
      </c>
      <c r="X31" s="141">
        <v>26555</v>
      </c>
      <c r="Y31" s="48">
        <f>+S31+U31+V31+W31+X31</f>
        <v>1556923.4656762565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H34" s="81"/>
      <c r="J34" s="81"/>
      <c r="Q34" s="81"/>
      <c r="U34" s="81"/>
      <c r="V34" s="81"/>
      <c r="Y34" s="99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  <c r="H35" s="163"/>
      <c r="J35" s="163"/>
      <c r="Q35" s="163"/>
      <c r="U35" s="163"/>
      <c r="V35" s="163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  <c r="G39" s="10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/>
      <c r="C42" s="62"/>
      <c r="D42" s="62"/>
      <c r="E42" s="62"/>
    </row>
    <row r="43" spans="1:25" x14ac:dyDescent="0.25">
      <c r="A43" s="62"/>
      <c r="C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</row>
    <row r="46" spans="1:25" ht="18.75" x14ac:dyDescent="0.3">
      <c r="A46" s="142"/>
      <c r="B46" s="65"/>
    </row>
    <row r="47" spans="1:25" ht="18.75" x14ac:dyDescent="0.3">
      <c r="A47" s="60"/>
      <c r="B47" s="65"/>
    </row>
  </sheetData>
  <mergeCells count="3">
    <mergeCell ref="A1:Z2"/>
    <mergeCell ref="S4:T4"/>
    <mergeCell ref="Y4:Z4"/>
  </mergeCells>
  <pageMargins left="0.26" right="0.25" top="0.75" bottom="0.74803149606299213" header="0.31496062992125984" footer="0.31496062992125984"/>
  <pageSetup paperSize="9" scale="5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45"/>
  <sheetViews>
    <sheetView zoomScale="90" zoomScaleNormal="90" workbookViewId="0">
      <selection activeCell="N38" sqref="N38"/>
    </sheetView>
  </sheetViews>
  <sheetFormatPr defaultRowHeight="15" x14ac:dyDescent="0.25"/>
  <cols>
    <col min="1" max="1" width="33.42578125" customWidth="1"/>
    <col min="2" max="2" width="6.42578125" customWidth="1"/>
    <col min="3" max="3" width="8" customWidth="1"/>
    <col min="4" max="4" width="12.42578125" customWidth="1"/>
    <col min="5" max="5" width="12.7109375" customWidth="1"/>
    <col min="6" max="6" width="9.28515625" customWidth="1"/>
    <col min="7" max="7" width="8.140625" bestFit="1" customWidth="1"/>
    <col min="8" max="8" width="8.28515625" bestFit="1" customWidth="1"/>
    <col min="9" max="9" width="11.28515625" customWidth="1"/>
    <col min="10" max="10" width="10.7109375" customWidth="1"/>
    <col min="11" max="11" width="9.140625" customWidth="1"/>
    <col min="12" max="13" width="6.140625" customWidth="1"/>
    <col min="14" max="14" width="7.85546875" bestFit="1" customWidth="1"/>
    <col min="15" max="15" width="9.42578125" customWidth="1"/>
    <col min="16" max="16" width="8.140625" bestFit="1" customWidth="1"/>
    <col min="17" max="17" width="7.28515625" bestFit="1" customWidth="1"/>
    <col min="18" max="18" width="6.42578125" bestFit="1" customWidth="1"/>
    <col min="19" max="19" width="10" customWidth="1"/>
    <col min="20" max="20" width="5.85546875" customWidth="1"/>
    <col min="21" max="21" width="10.7109375" customWidth="1"/>
    <col min="22" max="22" width="11.140625" customWidth="1"/>
    <col min="23" max="23" width="9.28515625" bestFit="1" customWidth="1"/>
    <col min="24" max="24" width="13.42578125" customWidth="1"/>
    <col min="25" max="25" width="10.140625" customWidth="1"/>
    <col min="26" max="26" width="6.28515625" customWidth="1"/>
    <col min="27" max="27" width="1.85546875" customWidth="1"/>
  </cols>
  <sheetData>
    <row r="1" spans="1:29" ht="15" customHeight="1" x14ac:dyDescent="0.25">
      <c r="A1" s="325" t="s">
        <v>197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0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10</v>
      </c>
      <c r="K6" s="19">
        <v>4</v>
      </c>
      <c r="L6" s="19"/>
      <c r="M6" s="19"/>
      <c r="N6" s="19"/>
      <c r="O6" s="19">
        <v>15</v>
      </c>
      <c r="P6" s="19">
        <v>10</v>
      </c>
      <c r="Q6" s="19">
        <v>15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302769.28999999998</v>
      </c>
      <c r="T6" s="140">
        <f>S6*100/$S$31</f>
        <v>9.3939042022438439</v>
      </c>
      <c r="U6" s="22"/>
      <c r="V6" s="22"/>
      <c r="W6" s="22"/>
      <c r="X6" s="23"/>
      <c r="Y6" s="20">
        <f>U6/100*$U$31+V6/100*$V$31+W6/100*$W$31+X6/100*$X$31+S6</f>
        <v>302769.28999999998</v>
      </c>
      <c r="Z6" s="25">
        <f t="shared" ref="Z6:Z31" si="0">Y6*100/$Y$31</f>
        <v>6.7526284506743828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>
        <v>10</v>
      </c>
      <c r="I7" s="22"/>
      <c r="J7" s="22">
        <v>22</v>
      </c>
      <c r="K7" s="22">
        <v>21</v>
      </c>
      <c r="L7" s="22"/>
      <c r="M7" s="22"/>
      <c r="N7" s="22"/>
      <c r="O7" s="22"/>
      <c r="P7" s="22">
        <v>22</v>
      </c>
      <c r="Q7" s="22">
        <v>10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671438.4099999998</v>
      </c>
      <c r="T7" s="21">
        <f t="shared" ref="T7:T29" si="2">S7*100/$S$31</f>
        <v>20.832456624801424</v>
      </c>
      <c r="U7" s="22"/>
      <c r="V7" s="22"/>
      <c r="W7" s="22"/>
      <c r="X7" s="23"/>
      <c r="Y7" s="20">
        <f t="shared" ref="Y7:Y29" si="3">U7/100*$U$31+V7/100*$V$31+W7/100*$W$31+X7/100*$X$31+S7</f>
        <v>671438.4099999998</v>
      </c>
      <c r="Z7" s="25">
        <f t="shared" si="0"/>
        <v>14.975013186580352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>
        <v>4</v>
      </c>
      <c r="I8" s="22"/>
      <c r="J8" s="22">
        <v>1</v>
      </c>
      <c r="K8" s="22">
        <v>73</v>
      </c>
      <c r="L8" s="22"/>
      <c r="M8" s="22"/>
      <c r="N8" s="22"/>
      <c r="O8" s="22"/>
      <c r="P8" s="22">
        <v>1</v>
      </c>
      <c r="Q8" s="22">
        <v>4</v>
      </c>
      <c r="R8" s="22"/>
      <c r="S8" s="20">
        <f t="shared" si="1"/>
        <v>275613.53999999998</v>
      </c>
      <c r="T8" s="21">
        <f t="shared" si="2"/>
        <v>8.5513533806592523</v>
      </c>
      <c r="U8" s="22"/>
      <c r="V8" s="22"/>
      <c r="W8" s="22"/>
      <c r="X8" s="23"/>
      <c r="Y8" s="20">
        <f t="shared" si="3"/>
        <v>275613.53999999998</v>
      </c>
      <c r="Z8" s="25">
        <f t="shared" si="0"/>
        <v>6.146976899787564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>
        <v>49</v>
      </c>
      <c r="I9" s="22"/>
      <c r="J9" s="22">
        <v>22</v>
      </c>
      <c r="K9" s="22"/>
      <c r="L9" s="22"/>
      <c r="M9" s="22"/>
      <c r="N9" s="22"/>
      <c r="O9" s="22"/>
      <c r="P9" s="22">
        <v>22</v>
      </c>
      <c r="Q9" s="22">
        <v>49</v>
      </c>
      <c r="R9" s="22"/>
      <c r="S9" s="20">
        <f t="shared" si="1"/>
        <v>603512.40999999992</v>
      </c>
      <c r="T9" s="21">
        <f t="shared" si="2"/>
        <v>18.724943221306589</v>
      </c>
      <c r="U9" s="22"/>
      <c r="V9" s="22"/>
      <c r="W9" s="22"/>
      <c r="X9" s="23"/>
      <c r="Y9" s="20">
        <f t="shared" si="3"/>
        <v>603512.40999999992</v>
      </c>
      <c r="Z9" s="25">
        <f t="shared" si="0"/>
        <v>13.460067466225068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>
        <v>22</v>
      </c>
      <c r="I10" s="22"/>
      <c r="J10" s="22">
        <v>45</v>
      </c>
      <c r="K10" s="22"/>
      <c r="L10" s="22"/>
      <c r="M10" s="22"/>
      <c r="N10" s="22"/>
      <c r="O10" s="22"/>
      <c r="P10" s="22">
        <v>45</v>
      </c>
      <c r="Q10" s="22">
        <v>22</v>
      </c>
      <c r="R10" s="22"/>
      <c r="S10" s="20">
        <f t="shared" si="1"/>
        <v>1227589.6299999999</v>
      </c>
      <c r="T10" s="21">
        <f t="shared" si="2"/>
        <v>38.087942749702137</v>
      </c>
      <c r="U10" s="22"/>
      <c r="V10" s="22"/>
      <c r="W10" s="22"/>
      <c r="X10" s="23"/>
      <c r="Y10" s="20">
        <f t="shared" si="3"/>
        <v>1227589.6299999999</v>
      </c>
      <c r="Z10" s="25">
        <f t="shared" si="0"/>
        <v>27.378789510953499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1077</v>
      </c>
      <c r="T15" s="21">
        <f t="shared" si="2"/>
        <v>3.3415657267672753E-2</v>
      </c>
      <c r="U15" s="22"/>
      <c r="V15" s="33"/>
      <c r="W15" s="33"/>
      <c r="X15" s="23"/>
      <c r="Y15" s="20">
        <f t="shared" si="3"/>
        <v>1077</v>
      </c>
      <c r="Z15" s="25">
        <f t="shared" si="0"/>
        <v>2.4020206413194387E-2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46448</v>
      </c>
      <c r="T16" s="21">
        <f t="shared" si="2"/>
        <v>1.4411239078633837</v>
      </c>
      <c r="U16" s="22"/>
      <c r="V16" s="33"/>
      <c r="W16" s="33"/>
      <c r="X16" s="23"/>
      <c r="Y16" s="20">
        <f t="shared" si="3"/>
        <v>46448</v>
      </c>
      <c r="Z16" s="25">
        <f t="shared" si="0"/>
        <v>1.0359243709192691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85</v>
      </c>
      <c r="G17" s="22"/>
      <c r="H17" s="22"/>
      <c r="I17" s="22"/>
      <c r="J17" s="22"/>
      <c r="K17" s="22">
        <v>2</v>
      </c>
      <c r="L17" s="22"/>
      <c r="M17" s="22"/>
      <c r="N17" s="22"/>
      <c r="O17" s="22">
        <v>85</v>
      </c>
      <c r="P17" s="22"/>
      <c r="Q17" s="22"/>
      <c r="R17" s="22"/>
      <c r="S17" s="20">
        <f t="shared" si="1"/>
        <v>94591.72</v>
      </c>
      <c r="T17" s="21">
        <f t="shared" si="2"/>
        <v>2.9348602561556789</v>
      </c>
      <c r="U17" s="33"/>
      <c r="V17" s="22">
        <v>100</v>
      </c>
      <c r="W17" s="22"/>
      <c r="X17" s="23">
        <v>100</v>
      </c>
      <c r="Y17" s="20">
        <f t="shared" si="3"/>
        <v>211922.72</v>
      </c>
      <c r="Z17" s="25">
        <f t="shared" si="0"/>
        <v>4.7264879090488376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1</v>
      </c>
      <c r="V18" s="22"/>
      <c r="W18" s="22"/>
      <c r="X18" s="23"/>
      <c r="Y18" s="20">
        <f t="shared" si="3"/>
        <v>11433.54</v>
      </c>
      <c r="Z18" s="25">
        <f t="shared" si="0"/>
        <v>0.25500091999397823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5</v>
      </c>
      <c r="V19" s="22"/>
      <c r="W19" s="22"/>
      <c r="X19" s="23"/>
      <c r="Y19" s="20">
        <f>U19/100*$U$31+V19/100*$V$31+W19/100*$W$31+X19/100*$X$31+S19</f>
        <v>57167.700000000004</v>
      </c>
      <c r="Z19" s="25">
        <f t="shared" si="0"/>
        <v>1.2750045999698911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22</v>
      </c>
      <c r="V20" s="22"/>
      <c r="W20" s="22"/>
      <c r="X20" s="23"/>
      <c r="Y20" s="20">
        <f>U20/100*$U$31+V20/100*$V$31+W20/100*$W$31+X20/100*$X$31+S20</f>
        <v>251537.88</v>
      </c>
      <c r="Z20" s="25">
        <f t="shared" si="0"/>
        <v>5.610020239867521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8</v>
      </c>
      <c r="V22" s="22"/>
      <c r="W22" s="22"/>
      <c r="X22" s="23"/>
      <c r="Y22" s="20">
        <f t="shared" si="3"/>
        <v>91468.32</v>
      </c>
      <c r="Z22" s="25">
        <f t="shared" si="0"/>
        <v>2.0400073599518258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4</v>
      </c>
      <c r="V23" s="22"/>
      <c r="W23" s="22"/>
      <c r="X23" s="23"/>
      <c r="Y23" s="20">
        <f t="shared" si="3"/>
        <v>45734.16</v>
      </c>
      <c r="Z23" s="25">
        <f t="shared" si="0"/>
        <v>1.0200036799759129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18</v>
      </c>
      <c r="V24" s="22"/>
      <c r="W24" s="22"/>
      <c r="X24" s="23"/>
      <c r="Y24" s="20">
        <f t="shared" si="3"/>
        <v>205803.72</v>
      </c>
      <c r="Z24" s="25">
        <f t="shared" si="0"/>
        <v>4.5900165598916081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3</v>
      </c>
      <c r="V25" s="22"/>
      <c r="W25" s="22"/>
      <c r="X25" s="23"/>
      <c r="Y25" s="20">
        <f t="shared" si="3"/>
        <v>34300.619999999995</v>
      </c>
      <c r="Z25" s="25">
        <f t="shared" si="0"/>
        <v>0.76500275998193457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37</v>
      </c>
      <c r="V27" s="22"/>
      <c r="W27" s="22"/>
      <c r="X27" s="23"/>
      <c r="Y27" s="20">
        <f t="shared" si="3"/>
        <v>423040.98</v>
      </c>
      <c r="Z27" s="25">
        <f t="shared" si="0"/>
        <v>9.4350340397771948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2</v>
      </c>
      <c r="V28" s="22"/>
      <c r="W28" s="22"/>
      <c r="X28" s="23"/>
      <c r="Y28" s="20">
        <f t="shared" si="3"/>
        <v>22867.08</v>
      </c>
      <c r="Z28" s="25">
        <f t="shared" si="0"/>
        <v>0.51000183998795645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100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100</v>
      </c>
      <c r="P30" s="44">
        <f t="shared" si="4"/>
        <v>100</v>
      </c>
      <c r="Q30" s="44">
        <f t="shared" si="4"/>
        <v>100</v>
      </c>
      <c r="R30" s="44">
        <f t="shared" si="4"/>
        <v>0</v>
      </c>
      <c r="S30" s="20">
        <f>+SUM(S6:S29)</f>
        <v>3223039.9999999995</v>
      </c>
      <c r="T30" s="20">
        <f>+SUM(T6:T29)</f>
        <v>99.999999999999972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4483725</v>
      </c>
      <c r="Z30" s="25">
        <f>Y30*100/$Y$31</f>
        <v>100</v>
      </c>
    </row>
    <row r="31" spans="1:27" ht="15.75" thickBot="1" x14ac:dyDescent="0.3">
      <c r="A31" s="45" t="s">
        <v>51</v>
      </c>
      <c r="B31" s="46" t="s">
        <v>24</v>
      </c>
      <c r="C31" s="47">
        <v>1077</v>
      </c>
      <c r="D31" s="47">
        <v>0</v>
      </c>
      <c r="E31" s="47">
        <v>9288</v>
      </c>
      <c r="F31" s="47">
        <v>43700</v>
      </c>
      <c r="G31" s="47">
        <v>37160</v>
      </c>
      <c r="H31" s="47">
        <v>5692</v>
      </c>
      <c r="I31" s="47">
        <v>0</v>
      </c>
      <c r="J31" s="47">
        <v>2676930</v>
      </c>
      <c r="K31" s="47">
        <v>339761</v>
      </c>
      <c r="L31" s="47">
        <v>0</v>
      </c>
      <c r="M31" s="47">
        <v>0</v>
      </c>
      <c r="N31" s="47">
        <v>0</v>
      </c>
      <c r="O31" s="47">
        <v>59590</v>
      </c>
      <c r="P31" s="47">
        <v>46755</v>
      </c>
      <c r="Q31" s="47">
        <v>3087</v>
      </c>
      <c r="R31" s="47">
        <v>0</v>
      </c>
      <c r="S31" s="48">
        <f>SUM(C31:R31)</f>
        <v>3223040</v>
      </c>
      <c r="T31" s="48">
        <f>S31*100/$S$31</f>
        <v>100</v>
      </c>
      <c r="U31" s="47">
        <v>1143354</v>
      </c>
      <c r="V31" s="47">
        <v>79710</v>
      </c>
      <c r="W31" s="47">
        <v>0</v>
      </c>
      <c r="X31" s="47">
        <v>37621</v>
      </c>
      <c r="Y31" s="48">
        <f>+S31+U31+V31+W31+X31</f>
        <v>4483725</v>
      </c>
      <c r="Z31" s="48">
        <f t="shared" si="0"/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v>48056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198</v>
      </c>
      <c r="B43" s="62"/>
      <c r="C43" s="63">
        <v>4483727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  <c r="C45">
        <v>1077</v>
      </c>
      <c r="D45">
        <v>0</v>
      </c>
      <c r="E45">
        <v>9288</v>
      </c>
      <c r="F45">
        <v>43700</v>
      </c>
      <c r="G45">
        <v>37160</v>
      </c>
      <c r="H45">
        <v>5692</v>
      </c>
      <c r="I45">
        <v>0</v>
      </c>
      <c r="J45">
        <v>2676930</v>
      </c>
      <c r="K45">
        <v>339761</v>
      </c>
      <c r="L45">
        <v>0</v>
      </c>
      <c r="M45">
        <v>0</v>
      </c>
      <c r="N45">
        <v>0</v>
      </c>
      <c r="O45">
        <v>59590</v>
      </c>
      <c r="P45">
        <v>46755</v>
      </c>
      <c r="Q45">
        <v>3087</v>
      </c>
      <c r="R45">
        <v>0</v>
      </c>
      <c r="U45">
        <v>1143354</v>
      </c>
      <c r="V45">
        <v>79710</v>
      </c>
      <c r="W45">
        <v>0</v>
      </c>
      <c r="X45">
        <v>37621</v>
      </c>
      <c r="Y45">
        <v>4483725</v>
      </c>
    </row>
  </sheetData>
  <mergeCells count="3">
    <mergeCell ref="A1:Z2"/>
    <mergeCell ref="S4:T4"/>
    <mergeCell ref="Y4:Z4"/>
  </mergeCells>
  <pageMargins left="0.28999999999999998" right="0.24" top="0.74803149606299213" bottom="0.74803149606299213" header="0.31496062992125984" footer="0.31496062992125984"/>
  <pageSetup paperSize="9" scale="5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4" customWidth="1"/>
    <col min="2" max="2" width="7.28515625" customWidth="1"/>
    <col min="3" max="3" width="8.28515625" customWidth="1"/>
    <col min="4" max="5" width="12.7109375" customWidth="1"/>
    <col min="6" max="6" width="9.28515625" customWidth="1"/>
    <col min="7" max="7" width="7.85546875" customWidth="1"/>
    <col min="8" max="8" width="8.28515625" customWidth="1"/>
    <col min="9" max="9" width="10.5703125" customWidth="1"/>
    <col min="10" max="11" width="9.140625" bestFit="1" customWidth="1"/>
    <col min="12" max="12" width="6.140625" customWidth="1"/>
    <col min="13" max="13" width="6.85546875" customWidth="1"/>
    <col min="14" max="14" width="7.85546875" customWidth="1"/>
    <col min="15" max="15" width="9" customWidth="1"/>
    <col min="16" max="16" width="7" bestFit="1" customWidth="1"/>
    <col min="17" max="17" width="7.42578125" customWidth="1"/>
    <col min="18" max="18" width="6.42578125" bestFit="1" customWidth="1"/>
    <col min="19" max="19" width="10.85546875" customWidth="1"/>
    <col min="20" max="20" width="8.140625" customWidth="1"/>
    <col min="21" max="21" width="10.5703125" customWidth="1"/>
    <col min="22" max="22" width="11.140625" customWidth="1"/>
    <col min="23" max="23" width="9.28515625" bestFit="1" customWidth="1"/>
    <col min="24" max="24" width="13" customWidth="1"/>
    <col min="25" max="25" width="9.85546875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247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173" t="s">
        <v>2</v>
      </c>
      <c r="D4" s="174" t="s">
        <v>3</v>
      </c>
      <c r="E4" s="174" t="s">
        <v>4</v>
      </c>
      <c r="F4" s="174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174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175" t="s">
        <v>16</v>
      </c>
      <c r="R4" s="257" t="s">
        <v>17</v>
      </c>
      <c r="S4" s="327" t="s">
        <v>18</v>
      </c>
      <c r="T4" s="328"/>
      <c r="U4" s="256" t="s">
        <v>19</v>
      </c>
      <c r="V4" s="175" t="s">
        <v>20</v>
      </c>
      <c r="W4" s="281" t="s">
        <v>21</v>
      </c>
      <c r="X4" s="281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282"/>
      <c r="D5" s="283"/>
      <c r="E5" s="283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4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213"/>
      <c r="D6" s="213"/>
      <c r="E6" s="213"/>
      <c r="F6" s="213">
        <v>15</v>
      </c>
      <c r="G6" s="213">
        <v>20</v>
      </c>
      <c r="H6" s="213">
        <v>15</v>
      </c>
      <c r="I6" s="213"/>
      <c r="J6" s="213">
        <v>17</v>
      </c>
      <c r="K6" s="214">
        <v>17</v>
      </c>
      <c r="L6" s="19"/>
      <c r="M6" s="19"/>
      <c r="N6" s="19"/>
      <c r="O6" s="19"/>
      <c r="P6" s="19"/>
      <c r="Q6" s="19">
        <v>15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218962.2</v>
      </c>
      <c r="T6" s="140">
        <f>S6*100/$S$31</f>
        <v>16.933580291787344</v>
      </c>
      <c r="U6" s="214"/>
      <c r="V6" s="214"/>
      <c r="W6" s="214"/>
      <c r="X6" s="214"/>
      <c r="Y6" s="24">
        <f>U6/100*$U$31+V6/100*$V$31+W6/100*$W$31+X6/100*$X$31+S6</f>
        <v>218962.2</v>
      </c>
      <c r="Z6" s="25">
        <f t="shared" ref="Z6:Z29" si="0">Y6*100/$Y$31</f>
        <v>6.9080266197386608</v>
      </c>
    </row>
    <row r="7" spans="1:29" x14ac:dyDescent="0.25">
      <c r="A7" s="26" t="s">
        <v>27</v>
      </c>
      <c r="B7" s="18" t="s">
        <v>25</v>
      </c>
      <c r="C7" s="214">
        <v>60</v>
      </c>
      <c r="D7" s="214"/>
      <c r="E7" s="214"/>
      <c r="F7" s="214"/>
      <c r="G7" s="214">
        <v>30</v>
      </c>
      <c r="H7" s="214">
        <v>12</v>
      </c>
      <c r="I7" s="214"/>
      <c r="J7" s="214">
        <v>40</v>
      </c>
      <c r="K7" s="214">
        <v>40</v>
      </c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502625.12000000005</v>
      </c>
      <c r="T7" s="21">
        <f t="shared" ref="T7:T29" si="2">S7*100/$S$31</f>
        <v>38.870831706062731</v>
      </c>
      <c r="U7" s="214"/>
      <c r="V7" s="284">
        <v>65.854579528131694</v>
      </c>
      <c r="W7" s="214"/>
      <c r="X7" s="214"/>
      <c r="Y7" s="20">
        <f t="shared" ref="Y7:Y28" si="3">U7/100*$U$31+V7/100*$V$31+W7/100*$W$31+X7/100*$X$31+S7</f>
        <v>739852.41328839352</v>
      </c>
      <c r="Z7" s="25">
        <f t="shared" si="0"/>
        <v>23.341563820943119</v>
      </c>
    </row>
    <row r="8" spans="1:29" x14ac:dyDescent="0.25">
      <c r="A8" s="3" t="s">
        <v>28</v>
      </c>
      <c r="B8" s="27" t="s">
        <v>25</v>
      </c>
      <c r="C8" s="214">
        <v>40</v>
      </c>
      <c r="D8" s="214"/>
      <c r="E8" s="214"/>
      <c r="F8" s="214"/>
      <c r="G8" s="214">
        <v>20</v>
      </c>
      <c r="H8" s="214">
        <v>5</v>
      </c>
      <c r="I8" s="214"/>
      <c r="J8" s="214">
        <v>25</v>
      </c>
      <c r="K8" s="214">
        <v>25</v>
      </c>
      <c r="L8" s="22"/>
      <c r="M8" s="22"/>
      <c r="N8" s="22"/>
      <c r="O8" s="22"/>
      <c r="P8" s="22"/>
      <c r="Q8" s="22"/>
      <c r="R8" s="22"/>
      <c r="S8" s="20">
        <f t="shared" si="1"/>
        <v>314521.40000000002</v>
      </c>
      <c r="T8" s="21">
        <f t="shared" si="2"/>
        <v>24.323711491688357</v>
      </c>
      <c r="U8" s="214"/>
      <c r="V8" s="284"/>
      <c r="W8" s="214"/>
      <c r="X8" s="214"/>
      <c r="Y8" s="20">
        <f t="shared" si="3"/>
        <v>314521.40000000002</v>
      </c>
      <c r="Z8" s="25">
        <f t="shared" si="0"/>
        <v>9.9228186585514369</v>
      </c>
    </row>
    <row r="9" spans="1:29" x14ac:dyDescent="0.25">
      <c r="A9" s="3" t="s">
        <v>29</v>
      </c>
      <c r="B9" s="27" t="s">
        <v>25</v>
      </c>
      <c r="C9" s="214"/>
      <c r="D9" s="214"/>
      <c r="E9" s="214"/>
      <c r="F9" s="214"/>
      <c r="G9" s="214"/>
      <c r="H9" s="214">
        <v>25</v>
      </c>
      <c r="I9" s="214"/>
      <c r="J9" s="214">
        <v>18</v>
      </c>
      <c r="K9" s="214">
        <v>18</v>
      </c>
      <c r="L9" s="22"/>
      <c r="M9" s="22"/>
      <c r="N9" s="22"/>
      <c r="O9" s="22"/>
      <c r="P9" s="22"/>
      <c r="Q9" s="22"/>
      <c r="R9" s="22"/>
      <c r="S9" s="20">
        <f t="shared" si="1"/>
        <v>221965.69999999998</v>
      </c>
      <c r="T9" s="21">
        <f t="shared" si="2"/>
        <v>17.165857864840515</v>
      </c>
      <c r="U9" s="214"/>
      <c r="V9" s="284"/>
      <c r="W9" s="214"/>
      <c r="X9" s="214"/>
      <c r="Y9" s="20">
        <f t="shared" si="3"/>
        <v>221965.69999999998</v>
      </c>
      <c r="Z9" s="25">
        <f t="shared" si="0"/>
        <v>7.0027838789933865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14"/>
      <c r="G10" s="214"/>
      <c r="H10" s="214">
        <v>26</v>
      </c>
      <c r="I10" s="214"/>
      <c r="J10" s="214"/>
      <c r="K10" s="214"/>
      <c r="L10" s="22"/>
      <c r="M10" s="22"/>
      <c r="N10" s="22"/>
      <c r="O10" s="22"/>
      <c r="P10" s="22"/>
      <c r="Q10" s="22"/>
      <c r="R10" s="22"/>
      <c r="S10" s="20">
        <f t="shared" si="1"/>
        <v>365.56</v>
      </c>
      <c r="T10" s="21">
        <f t="shared" si="2"/>
        <v>2.8270813918867186E-2</v>
      </c>
      <c r="U10" s="214"/>
      <c r="V10" s="284">
        <v>26.754615807975146</v>
      </c>
      <c r="W10" s="214"/>
      <c r="X10" s="214"/>
      <c r="Y10" s="20">
        <f t="shared" si="3"/>
        <v>96743.444978910789</v>
      </c>
      <c r="Z10" s="25">
        <f t="shared" si="0"/>
        <v>3.0521537196810149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14"/>
      <c r="G11" s="214"/>
      <c r="H11" s="214"/>
      <c r="I11" s="214"/>
      <c r="J11" s="214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14"/>
      <c r="V11" s="284"/>
      <c r="W11" s="214"/>
      <c r="X11" s="214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14"/>
      <c r="G12" s="214"/>
      <c r="H12" s="214"/>
      <c r="I12" s="214"/>
      <c r="J12" s="214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14"/>
      <c r="V12" s="214"/>
      <c r="W12" s="214"/>
      <c r="X12" s="214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14"/>
      <c r="G13" s="214"/>
      <c r="H13" s="214"/>
      <c r="I13" s="214"/>
      <c r="J13" s="214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14"/>
      <c r="V13" s="284">
        <v>1.5084517227166938</v>
      </c>
      <c r="W13" s="214"/>
      <c r="X13" s="214"/>
      <c r="Y13" s="20">
        <f t="shared" si="3"/>
        <v>5433.8805562251191</v>
      </c>
      <c r="Z13" s="25">
        <f t="shared" si="0"/>
        <v>0.17143320413698548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14"/>
      <c r="G14" s="214"/>
      <c r="H14" s="214"/>
      <c r="I14" s="214"/>
      <c r="J14" s="214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14"/>
      <c r="V14" s="214"/>
      <c r="W14" s="214"/>
      <c r="X14" s="214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14"/>
      <c r="F15" s="214"/>
      <c r="G15" s="214"/>
      <c r="H15" s="214"/>
      <c r="I15" s="214"/>
      <c r="J15" s="214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14"/>
      <c r="V15" s="214"/>
      <c r="W15" s="214"/>
      <c r="X15" s="214"/>
      <c r="Y15" s="20">
        <f>U15/100*$U$31+V15/100*$V$31+W15/100*$W$31+X15/100*$X$31+S15</f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14">
        <v>100</v>
      </c>
      <c r="F16" s="214"/>
      <c r="G16" s="214"/>
      <c r="H16" s="214"/>
      <c r="I16" s="214"/>
      <c r="J16" s="214"/>
      <c r="K16" s="22"/>
      <c r="L16" s="22"/>
      <c r="M16" s="22"/>
      <c r="N16" s="22"/>
      <c r="O16" s="22"/>
      <c r="P16" s="22"/>
      <c r="Q16" s="22"/>
      <c r="R16" s="22"/>
      <c r="S16" s="20">
        <f t="shared" si="1"/>
        <v>6305</v>
      </c>
      <c r="T16" s="21">
        <f t="shared" si="2"/>
        <v>0.48760116467462966</v>
      </c>
      <c r="U16" s="214"/>
      <c r="V16" s="214"/>
      <c r="W16" s="214"/>
      <c r="X16" s="214"/>
      <c r="Y16" s="20">
        <f t="shared" ref="Y16" si="4">U16/100*$U$31+V16/100*$V$31+W16/100*$W$31+X16/100*$X$31+S16</f>
        <v>6305</v>
      </c>
      <c r="Z16" s="25">
        <f t="shared" si="0"/>
        <v>0.19891610441186772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14">
        <v>85</v>
      </c>
      <c r="G17" s="214">
        <v>30</v>
      </c>
      <c r="H17" s="214">
        <v>17</v>
      </c>
      <c r="I17" s="214"/>
      <c r="J17" s="214"/>
      <c r="K17" s="22"/>
      <c r="L17" s="22"/>
      <c r="M17" s="22"/>
      <c r="N17" s="22"/>
      <c r="O17" s="22"/>
      <c r="P17" s="22"/>
      <c r="Q17" s="22">
        <v>85</v>
      </c>
      <c r="R17" s="22"/>
      <c r="S17" s="20">
        <f t="shared" si="1"/>
        <v>28320.02</v>
      </c>
      <c r="T17" s="21">
        <f t="shared" si="2"/>
        <v>2.1901466670275664</v>
      </c>
      <c r="U17" s="285">
        <v>0.21039279488501472</v>
      </c>
      <c r="V17" s="284">
        <v>5.8823529411764701</v>
      </c>
      <c r="W17" s="214"/>
      <c r="X17" s="214">
        <v>100</v>
      </c>
      <c r="Y17" s="20">
        <f>U17/100*$U$31+V17/100*$V$31+W17/100*$W$31+X17/100*$X$31+S17</f>
        <v>123601.83767056602</v>
      </c>
      <c r="Z17" s="25">
        <f t="shared" si="0"/>
        <v>3.8995076998536131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284">
        <v>1.2289728387852488</v>
      </c>
      <c r="V18" s="214"/>
      <c r="W18" s="214"/>
      <c r="X18" s="214"/>
      <c r="Y18" s="20">
        <f t="shared" si="3"/>
        <v>17762.75</v>
      </c>
      <c r="Z18" s="25">
        <f t="shared" si="0"/>
        <v>0.56039604022869205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284">
        <v>3.0128905705018125</v>
      </c>
      <c r="V19" s="214"/>
      <c r="W19" s="214"/>
      <c r="X19" s="214"/>
      <c r="Y19" s="20">
        <f t="shared" si="3"/>
        <v>43546.301669350963</v>
      </c>
      <c r="Z19" s="25">
        <f t="shared" si="0"/>
        <v>1.3738399190501673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284">
        <v>12.043343813457055</v>
      </c>
      <c r="V20" s="214"/>
      <c r="W20" s="214"/>
      <c r="X20" s="214"/>
      <c r="Y20" s="20">
        <f t="shared" si="3"/>
        <v>174066.42243935325</v>
      </c>
      <c r="Z20" s="25">
        <f t="shared" si="0"/>
        <v>5.4916121586909847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>C21/100*$C$31+D21/100*$D$31+E21/100*$E$31+F21/100*$F$31+G21/100*$G$31+H21/100*$H$31+I21/100*$I$31+J21/100*$J$31+K21/100*$K$31+L21/100*$L$31+M21/100*$M$31+N21/100*$N$31+O21/100*$O$31+P21/100*$P$31+Q21/100*$Q$31+R21/100*$R$31</f>
        <v>0</v>
      </c>
      <c r="T21" s="21">
        <f t="shared" si="2"/>
        <v>0</v>
      </c>
      <c r="U21" s="285">
        <v>0.21696756972517139</v>
      </c>
      <c r="V21" s="214"/>
      <c r="W21" s="214"/>
      <c r="X21" s="214"/>
      <c r="Y21" s="20">
        <f>U21/100*$U$31+V21/100*$V$31+W21/100*$W$31+X21/100*$X$31+S21</f>
        <v>3135.9038845359119</v>
      </c>
      <c r="Z21" s="25">
        <f t="shared" si="0"/>
        <v>9.8934462255658523E-2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>C22/100*$C$31+D22/100*$D$31+E22/100*$E$31+F22/100*$F$31+G22/100*$G$31+H22/100*$H$31+I22/100*$I$31+J22/100*$J$31+K22/100*$K$31+L22/100*$L$31+M22/100*$M$31+N22/100*$N$31+O22/100*$O$31+P22/100*$P$31+Q22/100*$Q$31+R22/100*$R$31</f>
        <v>0</v>
      </c>
      <c r="T22" s="21">
        <f t="shared" si="2"/>
        <v>0</v>
      </c>
      <c r="U22" s="284">
        <v>17.741858337413429</v>
      </c>
      <c r="V22" s="214"/>
      <c r="W22" s="214"/>
      <c r="X22" s="214"/>
      <c r="Y22" s="20">
        <f t="shared" si="3"/>
        <v>256428.93336388766</v>
      </c>
      <c r="Z22" s="25">
        <f t="shared" si="0"/>
        <v>8.0900625667303636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284">
        <v>6.1244027636059757</v>
      </c>
      <c r="V23" s="214"/>
      <c r="W23" s="214"/>
      <c r="X23" s="214"/>
      <c r="Y23" s="20">
        <f t="shared" si="3"/>
        <v>88518.014195309166</v>
      </c>
      <c r="Z23" s="25">
        <f t="shared" si="0"/>
        <v>2.7926500482165433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84">
        <v>3.5076423772236049</v>
      </c>
      <c r="V24" s="214"/>
      <c r="W24" s="214"/>
      <c r="X24" s="214"/>
      <c r="Y24" s="20">
        <f t="shared" si="3"/>
        <v>50697.112799997245</v>
      </c>
      <c r="Z24" s="25">
        <f t="shared" si="0"/>
        <v>1.5994404731331462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284">
        <v>30.712416972082028</v>
      </c>
      <c r="V25" s="214"/>
      <c r="W25" s="214"/>
      <c r="X25" s="214"/>
      <c r="Y25" s="20">
        <f t="shared" si="3"/>
        <v>443896.69759510236</v>
      </c>
      <c r="Z25" s="25">
        <f t="shared" si="0"/>
        <v>14.004472933689238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84"/>
      <c r="V26" s="214"/>
      <c r="W26" s="214"/>
      <c r="X26" s="214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284">
        <v>25.201111962320667</v>
      </c>
      <c r="V27" s="214"/>
      <c r="W27" s="214"/>
      <c r="X27" s="214"/>
      <c r="Y27" s="20">
        <f t="shared" si="3"/>
        <v>364239.98755836813</v>
      </c>
      <c r="Z27" s="25">
        <f t="shared" si="0"/>
        <v>11.491387691695124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285"/>
      <c r="V28" s="214"/>
      <c r="W28" s="214"/>
      <c r="X28" s="214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285"/>
      <c r="V29" s="214"/>
      <c r="W29" s="214"/>
      <c r="X29" s="214"/>
      <c r="Y29" s="39">
        <f>U29/100*$U$31+V29/100*$V$31+W29/100*$W$31+X29/100*$X$31+S29</f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100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1293065.0000000002</v>
      </c>
      <c r="T30" s="20">
        <f>+SUM(T6:T29)</f>
        <v>100.00000000000001</v>
      </c>
      <c r="U30" s="286">
        <f>SUM(U6:U29)</f>
        <v>100.00000000000001</v>
      </c>
      <c r="V30" s="287">
        <f t="shared" ref="V30:W30" si="6">SUM(V6:V29)</f>
        <v>100</v>
      </c>
      <c r="W30" s="287">
        <f t="shared" si="6"/>
        <v>0</v>
      </c>
      <c r="X30" s="288">
        <f>SUM(X6:X29)</f>
        <v>100</v>
      </c>
      <c r="Y30" s="39">
        <f>SUM(Y6:Y29)</f>
        <v>3169678</v>
      </c>
      <c r="Z30" s="42">
        <f>SUM(Z6:Z29)</f>
        <v>100</v>
      </c>
    </row>
    <row r="31" spans="1:27" ht="15.75" thickBot="1" x14ac:dyDescent="0.3">
      <c r="A31" s="150" t="s">
        <v>51</v>
      </c>
      <c r="B31" s="46" t="s">
        <v>24</v>
      </c>
      <c r="C31" s="47">
        <v>1356</v>
      </c>
      <c r="D31" s="47">
        <v>0</v>
      </c>
      <c r="E31" s="47">
        <v>6305</v>
      </c>
      <c r="F31" s="47">
        <v>19757</v>
      </c>
      <c r="G31" s="47">
        <v>30556</v>
      </c>
      <c r="H31" s="47">
        <v>1406</v>
      </c>
      <c r="I31" s="47">
        <v>0</v>
      </c>
      <c r="J31" s="47">
        <v>907927</v>
      </c>
      <c r="K31" s="47">
        <v>323263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2495</v>
      </c>
      <c r="R31" s="47">
        <v>0</v>
      </c>
      <c r="S31" s="48">
        <f>SUM(C31:R31)</f>
        <v>1293065</v>
      </c>
      <c r="T31" s="48">
        <f>S31*100/$S$31</f>
        <v>100</v>
      </c>
      <c r="U31" s="47">
        <v>1445333</v>
      </c>
      <c r="V31" s="47">
        <v>360229</v>
      </c>
      <c r="W31" s="47">
        <v>0</v>
      </c>
      <c r="X31" s="47">
        <v>71051</v>
      </c>
      <c r="Y31" s="48">
        <f>+S31+U31+V31+W31+X31</f>
        <v>3169678</v>
      </c>
      <c r="Z31" s="48">
        <f>Y31*100/$Y$31</f>
        <v>100</v>
      </c>
      <c r="AA31" s="49"/>
    </row>
    <row r="32" spans="1:27" ht="15.75" thickTop="1" x14ac:dyDescent="0.25">
      <c r="A32" s="151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  <c r="G39" s="10"/>
    </row>
    <row r="40" spans="1:25" x14ac:dyDescent="0.25">
      <c r="A40" s="194"/>
      <c r="B40" s="194"/>
    </row>
    <row r="41" spans="1:25" x14ac:dyDescent="0.25">
      <c r="A41" s="196"/>
      <c r="B41" s="194"/>
      <c r="C41">
        <v>1356</v>
      </c>
      <c r="D41">
        <v>0</v>
      </c>
      <c r="E41">
        <v>6305</v>
      </c>
      <c r="F41">
        <v>19757</v>
      </c>
      <c r="G41">
        <v>30556</v>
      </c>
      <c r="H41">
        <v>1406</v>
      </c>
      <c r="I41">
        <v>0</v>
      </c>
      <c r="J41">
        <v>907927</v>
      </c>
      <c r="K41">
        <v>323263</v>
      </c>
      <c r="L41">
        <v>0</v>
      </c>
      <c r="M41">
        <v>0</v>
      </c>
      <c r="N41">
        <v>0</v>
      </c>
      <c r="O41">
        <v>0</v>
      </c>
      <c r="P41">
        <v>0</v>
      </c>
      <c r="Q41">
        <v>2495</v>
      </c>
      <c r="R41">
        <v>0</v>
      </c>
      <c r="U41">
        <v>1445333</v>
      </c>
      <c r="V41">
        <v>360229</v>
      </c>
      <c r="W41">
        <v>0</v>
      </c>
      <c r="X41">
        <v>71051</v>
      </c>
      <c r="Y41">
        <v>3169678</v>
      </c>
    </row>
    <row r="42" spans="1:25" x14ac:dyDescent="0.25">
      <c r="A42" s="10"/>
      <c r="B42" s="196"/>
    </row>
    <row r="43" spans="1:25" x14ac:dyDescent="0.25">
      <c r="A43" s="62"/>
      <c r="B43" s="62"/>
    </row>
    <row r="44" spans="1:25" ht="18.75" x14ac:dyDescent="0.3">
      <c r="A44" s="142"/>
      <c r="B44" s="65"/>
    </row>
    <row r="45" spans="1:25" ht="18.75" x14ac:dyDescent="0.3">
      <c r="A45" s="60"/>
      <c r="B45" s="65"/>
    </row>
  </sheetData>
  <mergeCells count="3">
    <mergeCell ref="A1:Z2"/>
    <mergeCell ref="S4:T4"/>
    <mergeCell ref="Y4:Z4"/>
  </mergeCells>
  <pageMargins left="0.3" right="0.19" top="0.74803149606299213" bottom="0.74803149606299213" header="0.31496062992125984" footer="0.31496062992125984"/>
  <pageSetup paperSize="9" scale="5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5"/>
  <sheetViews>
    <sheetView zoomScale="90" zoomScaleNormal="90" workbookViewId="0">
      <selection activeCell="T30" sqref="T30"/>
    </sheetView>
  </sheetViews>
  <sheetFormatPr defaultRowHeight="15" x14ac:dyDescent="0.25"/>
  <cols>
    <col min="1" max="1" width="33.85546875" customWidth="1"/>
    <col min="2" max="2" width="6" customWidth="1"/>
    <col min="3" max="3" width="8.5703125" customWidth="1"/>
    <col min="4" max="5" width="12.7109375" customWidth="1"/>
    <col min="6" max="6" width="8.5703125" customWidth="1"/>
    <col min="7" max="7" width="9.140625" bestFit="1" customWidth="1"/>
    <col min="8" max="8" width="8.28515625" bestFit="1" customWidth="1"/>
    <col min="9" max="9" width="11.28515625" customWidth="1"/>
    <col min="10" max="10" width="9.140625" bestFit="1" customWidth="1"/>
    <col min="11" max="11" width="6.5703125" customWidth="1"/>
    <col min="12" max="12" width="6.85546875" customWidth="1"/>
    <col min="13" max="13" width="7" customWidth="1"/>
    <col min="14" max="14" width="7.85546875" bestFit="1" customWidth="1"/>
    <col min="15" max="15" width="9.5703125" customWidth="1"/>
    <col min="16" max="16" width="7" bestFit="1" customWidth="1"/>
    <col min="17" max="17" width="8" customWidth="1"/>
    <col min="18" max="18" width="7.28515625" customWidth="1"/>
    <col min="19" max="19" width="10" customWidth="1"/>
    <col min="20" max="20" width="6.7109375" customWidth="1"/>
    <col min="21" max="21" width="11" customWidth="1"/>
    <col min="22" max="22" width="11.140625" bestFit="1" customWidth="1"/>
    <col min="23" max="23" width="9" customWidth="1"/>
    <col min="24" max="24" width="13" customWidth="1"/>
    <col min="25" max="25" width="10.5703125" customWidth="1"/>
    <col min="26" max="26" width="6.42578125" customWidth="1"/>
    <col min="27" max="27" width="1.85546875" customWidth="1"/>
  </cols>
  <sheetData>
    <row r="1" spans="1:29" ht="15" customHeight="1" x14ac:dyDescent="0.25">
      <c r="A1" s="325" t="s">
        <v>174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84" t="s">
        <v>1</v>
      </c>
      <c r="C4" s="184" t="s">
        <v>2</v>
      </c>
      <c r="D4" s="5" t="s">
        <v>3</v>
      </c>
      <c r="E4" s="5" t="s">
        <v>79</v>
      </c>
      <c r="F4" s="5" t="s">
        <v>102</v>
      </c>
      <c r="G4" s="185" t="s">
        <v>6</v>
      </c>
      <c r="H4" s="185" t="s">
        <v>7</v>
      </c>
      <c r="I4" s="5" t="s">
        <v>101</v>
      </c>
      <c r="J4" s="185" t="s">
        <v>9</v>
      </c>
      <c r="K4" s="185" t="s">
        <v>10</v>
      </c>
      <c r="L4" s="185" t="s">
        <v>11</v>
      </c>
      <c r="M4" s="185" t="s">
        <v>12</v>
      </c>
      <c r="N4" s="185" t="s">
        <v>13</v>
      </c>
      <c r="O4" s="5" t="s">
        <v>14</v>
      </c>
      <c r="P4" s="185" t="s">
        <v>15</v>
      </c>
      <c r="Q4" s="185" t="s">
        <v>16</v>
      </c>
      <c r="R4" s="185" t="s">
        <v>17</v>
      </c>
      <c r="S4" s="327" t="s">
        <v>18</v>
      </c>
      <c r="T4" s="328"/>
      <c r="U4" s="184" t="s">
        <v>19</v>
      </c>
      <c r="V4" s="185" t="s">
        <v>20</v>
      </c>
      <c r="W4" s="7" t="s">
        <v>21</v>
      </c>
      <c r="X4" s="7" t="s">
        <v>22</v>
      </c>
      <c r="Y4" s="329" t="s">
        <v>23</v>
      </c>
      <c r="Z4" s="330"/>
      <c r="AA4" s="181"/>
      <c r="AB4" s="181"/>
      <c r="AC4" s="181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2" t="s">
        <v>25</v>
      </c>
      <c r="U5" s="182" t="s">
        <v>25</v>
      </c>
      <c r="V5" s="182" t="s">
        <v>25</v>
      </c>
      <c r="W5" s="182" t="s">
        <v>25</v>
      </c>
      <c r="X5" s="182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18</v>
      </c>
      <c r="D6" s="19"/>
      <c r="E6" s="19"/>
      <c r="F6" s="19">
        <v>20</v>
      </c>
      <c r="G6" s="19">
        <v>20</v>
      </c>
      <c r="H6" s="19">
        <v>20</v>
      </c>
      <c r="I6" s="19"/>
      <c r="J6" s="19">
        <v>19</v>
      </c>
      <c r="K6" s="19"/>
      <c r="L6" s="19"/>
      <c r="M6" s="19"/>
      <c r="N6" s="19">
        <v>25</v>
      </c>
      <c r="O6" s="19">
        <v>25</v>
      </c>
      <c r="P6" s="19"/>
      <c r="Q6" s="19">
        <v>20</v>
      </c>
      <c r="R6" s="19">
        <v>20</v>
      </c>
      <c r="S6" s="20">
        <f>C6/100*$C$31+D6/100*$D$31+E6/100*$E$31+F6/100*$F$31+G6/100*$G$31+H6/100*$H$31+I6/100*$I$31+J6/100*$J$31+K6/100*$K$31+L6/100*$L$31+M6/100*$M$31+N6/100*$N$31+O6/100*$O$31+P6/100*$P$31+Q6/100*$Q$31+R6/100*$R$31</f>
        <v>149415.74</v>
      </c>
      <c r="T6" s="21">
        <f>S6*100/$S$31</f>
        <v>19.006492564842965</v>
      </c>
      <c r="U6" s="22"/>
      <c r="V6" s="22"/>
      <c r="W6" s="22"/>
      <c r="X6" s="23"/>
      <c r="Y6" s="20">
        <f>U6/100*$U$31+V6/100*$V$31+W6/100*$W$31+X6/100*$X$31+S6</f>
        <v>149415.74</v>
      </c>
      <c r="Z6" s="25">
        <f t="shared" ref="Z6:Z29" si="0">Y6*100/$Y$31</f>
        <v>5.2989509962503405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8</v>
      </c>
      <c r="G7" s="22">
        <v>8</v>
      </c>
      <c r="H7" s="22">
        <v>11</v>
      </c>
      <c r="I7" s="22"/>
      <c r="J7" s="22">
        <v>9</v>
      </c>
      <c r="K7" s="22"/>
      <c r="L7" s="22"/>
      <c r="M7" s="22"/>
      <c r="N7" s="22">
        <v>1</v>
      </c>
      <c r="O7" s="22">
        <v>1</v>
      </c>
      <c r="P7" s="22"/>
      <c r="Q7" s="22"/>
      <c r="R7" s="22">
        <v>8</v>
      </c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61663.819999999992</v>
      </c>
      <c r="T7" s="21">
        <f>S7*100/$S$31</f>
        <v>7.8439723709818976</v>
      </c>
      <c r="U7" s="22">
        <v>3</v>
      </c>
      <c r="V7" s="22">
        <v>5</v>
      </c>
      <c r="W7" s="22"/>
      <c r="X7" s="23"/>
      <c r="Y7" s="20">
        <f t="shared" ref="Y7:Y29" si="2">U7/100*$U$31+V7/100*$V$31+W7/100*$W$31+X7/100*$X$31+S7</f>
        <v>123801.34</v>
      </c>
      <c r="Z7" s="25">
        <f t="shared" si="0"/>
        <v>4.3905497100247084</v>
      </c>
    </row>
    <row r="8" spans="1:29" x14ac:dyDescent="0.25">
      <c r="A8" s="3" t="s">
        <v>28</v>
      </c>
      <c r="B8" s="27" t="s">
        <v>25</v>
      </c>
      <c r="C8" s="22">
        <v>31</v>
      </c>
      <c r="D8" s="22"/>
      <c r="E8" s="22"/>
      <c r="F8" s="22">
        <v>1</v>
      </c>
      <c r="G8" s="22">
        <v>1</v>
      </c>
      <c r="H8" s="22">
        <v>1</v>
      </c>
      <c r="I8" s="22"/>
      <c r="J8" s="22">
        <v>4</v>
      </c>
      <c r="K8" s="22"/>
      <c r="L8" s="22"/>
      <c r="M8" s="22"/>
      <c r="N8" s="22">
        <v>1</v>
      </c>
      <c r="O8" s="22">
        <v>1</v>
      </c>
      <c r="P8" s="22"/>
      <c r="Q8" s="22"/>
      <c r="R8" s="22">
        <v>8</v>
      </c>
      <c r="S8" s="20">
        <f t="shared" si="1"/>
        <v>25335.819999999996</v>
      </c>
      <c r="T8" s="21">
        <f>S8*100/$S$31</f>
        <v>3.2228537264828967</v>
      </c>
      <c r="U8" s="22">
        <v>4</v>
      </c>
      <c r="V8" s="22"/>
      <c r="W8" s="22"/>
      <c r="X8" s="23"/>
      <c r="Y8" s="20">
        <f t="shared" si="2"/>
        <v>99584.98</v>
      </c>
      <c r="Z8" s="25">
        <f t="shared" si="0"/>
        <v>3.5317291804904243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>C9/100*$C$31+D9/100*$D$31+E9/100*$E$31+F9/100*$F$31+G9/100*$G$31+H9/100*$H$31+I9/100*$I$31+J9/100*$J$31+K9/100*$K$31+L9/100*$L$31+M9/100*$M$31+N9/100*$N$31+O9/100*$O$31+P9/100*$P$31+Q9/100*$Q$31+R9/100*$R$31</f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>
        <v>36</v>
      </c>
      <c r="D12" s="22"/>
      <c r="E12" s="22"/>
      <c r="F12" s="22">
        <v>10</v>
      </c>
      <c r="G12" s="22">
        <v>10</v>
      </c>
      <c r="H12" s="22">
        <v>58</v>
      </c>
      <c r="I12" s="22"/>
      <c r="J12" s="22">
        <v>21</v>
      </c>
      <c r="K12" s="22"/>
      <c r="L12" s="22"/>
      <c r="M12" s="22"/>
      <c r="N12" s="22"/>
      <c r="O12" s="22"/>
      <c r="P12" s="22"/>
      <c r="Q12" s="22"/>
      <c r="R12" s="22"/>
      <c r="S12" s="20">
        <f t="shared" si="1"/>
        <v>137491.9</v>
      </c>
      <c r="T12" s="21">
        <f t="shared" si="3"/>
        <v>17.489715441466423</v>
      </c>
      <c r="U12" s="22">
        <v>26</v>
      </c>
      <c r="V12" s="22"/>
      <c r="W12" s="22"/>
      <c r="X12" s="23"/>
      <c r="Y12" s="20">
        <f t="shared" si="2"/>
        <v>620111.44000000006</v>
      </c>
      <c r="Z12" s="25">
        <f t="shared" si="0"/>
        <v>21.991927575864725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>
        <v>15</v>
      </c>
      <c r="D15" s="22">
        <v>100</v>
      </c>
      <c r="E15" s="22">
        <v>100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26193.9</v>
      </c>
      <c r="T15" s="21">
        <f t="shared" si="3"/>
        <v>3.3320061567425237</v>
      </c>
      <c r="U15" s="22"/>
      <c r="V15" s="33"/>
      <c r="W15" s="33"/>
      <c r="X15" s="23"/>
      <c r="Y15" s="20">
        <f t="shared" si="2"/>
        <v>26193.9</v>
      </c>
      <c r="Z15" s="25">
        <f t="shared" si="0"/>
        <v>0.92895295034299463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0</v>
      </c>
      <c r="T16" s="21">
        <f t="shared" si="3"/>
        <v>0</v>
      </c>
      <c r="U16" s="22"/>
      <c r="V16" s="33"/>
      <c r="W16" s="33"/>
      <c r="X16" s="23"/>
      <c r="Y16" s="20">
        <f t="shared" si="2"/>
        <v>0</v>
      </c>
      <c r="Z16" s="25">
        <f t="shared" si="0"/>
        <v>0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61</v>
      </c>
      <c r="G17" s="22">
        <v>61</v>
      </c>
      <c r="H17" s="22">
        <v>10</v>
      </c>
      <c r="I17" s="22"/>
      <c r="J17" s="22">
        <v>47</v>
      </c>
      <c r="K17" s="22"/>
      <c r="L17" s="22"/>
      <c r="M17" s="22"/>
      <c r="N17" s="22">
        <v>73</v>
      </c>
      <c r="O17" s="22">
        <v>73</v>
      </c>
      <c r="P17" s="22"/>
      <c r="Q17" s="22">
        <v>80</v>
      </c>
      <c r="R17" s="22">
        <v>64</v>
      </c>
      <c r="S17" s="20">
        <f t="shared" si="1"/>
        <v>386028.82</v>
      </c>
      <c r="T17" s="21">
        <f t="shared" si="3"/>
        <v>49.104959739483292</v>
      </c>
      <c r="U17" s="33"/>
      <c r="V17" s="22">
        <v>95</v>
      </c>
      <c r="W17" s="22"/>
      <c r="X17" s="23">
        <v>100</v>
      </c>
      <c r="Y17" s="20">
        <f t="shared" si="2"/>
        <v>556942.16999999993</v>
      </c>
      <c r="Z17" s="25">
        <f t="shared" si="0"/>
        <v>19.751662485995961</v>
      </c>
    </row>
    <row r="18" spans="1:27" x14ac:dyDescent="0.25">
      <c r="A18" s="35" t="s">
        <v>38</v>
      </c>
      <c r="B18" s="18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1</v>
      </c>
      <c r="V18" s="22"/>
      <c r="W18" s="22"/>
      <c r="X18" s="23"/>
      <c r="Y18" s="20">
        <f t="shared" si="2"/>
        <v>18562.29</v>
      </c>
      <c r="Z18" s="25">
        <f t="shared" si="0"/>
        <v>0.65830189703031117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7</v>
      </c>
      <c r="V19" s="22"/>
      <c r="W19" s="22"/>
      <c r="X19" s="23"/>
      <c r="Y19" s="20">
        <f t="shared" si="2"/>
        <v>129936.03000000001</v>
      </c>
      <c r="Z19" s="25">
        <f t="shared" si="0"/>
        <v>4.6081132792121782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6</v>
      </c>
      <c r="V20" s="22"/>
      <c r="W20" s="22"/>
      <c r="X20" s="23"/>
      <c r="Y20" s="20">
        <f t="shared" si="2"/>
        <v>111373.73999999999</v>
      </c>
      <c r="Z20" s="25">
        <f t="shared" si="0"/>
        <v>3.949811382181867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2</v>
      </c>
      <c r="V21" s="22"/>
      <c r="W21" s="22"/>
      <c r="X21" s="23"/>
      <c r="Y21" s="20">
        <f t="shared" si="2"/>
        <v>37124.58</v>
      </c>
      <c r="Z21" s="25">
        <f t="shared" si="0"/>
        <v>1.3166037940606223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7</v>
      </c>
      <c r="V22" s="22"/>
      <c r="W22" s="22"/>
      <c r="X22" s="23"/>
      <c r="Y22" s="20">
        <f t="shared" si="2"/>
        <v>129936.03000000001</v>
      </c>
      <c r="Z22" s="25">
        <f t="shared" si="0"/>
        <v>4.6081132792121782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4</v>
      </c>
      <c r="V23" s="22"/>
      <c r="W23" s="22"/>
      <c r="X23" s="23"/>
      <c r="Y23" s="20">
        <f t="shared" si="2"/>
        <v>74249.16</v>
      </c>
      <c r="Z23" s="25">
        <f t="shared" si="0"/>
        <v>2.6332075881212447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7</v>
      </c>
      <c r="V24" s="22"/>
      <c r="W24" s="22"/>
      <c r="X24" s="23"/>
      <c r="Y24" s="20">
        <f t="shared" si="2"/>
        <v>129936.03000000001</v>
      </c>
      <c r="Z24" s="25">
        <f t="shared" si="0"/>
        <v>4.6081132792121782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22">
        <v>8</v>
      </c>
      <c r="V25" s="22"/>
      <c r="W25" s="22"/>
      <c r="X25" s="23"/>
      <c r="Y25" s="20">
        <f t="shared" si="2"/>
        <v>148498.32</v>
      </c>
      <c r="Z25" s="25">
        <f t="shared" si="0"/>
        <v>5.2664151762424893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>
        <v>7</v>
      </c>
      <c r="V26" s="22"/>
      <c r="W26" s="22"/>
      <c r="X26" s="23"/>
      <c r="Y26" s="20">
        <f t="shared" si="2"/>
        <v>129936.03000000001</v>
      </c>
      <c r="Z26" s="25">
        <f t="shared" si="0"/>
        <v>4.6081132792121782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22">
        <v>16</v>
      </c>
      <c r="V27" s="22"/>
      <c r="W27" s="22"/>
      <c r="X27" s="23"/>
      <c r="Y27" s="20">
        <f t="shared" si="2"/>
        <v>296996.64</v>
      </c>
      <c r="Z27" s="25">
        <f t="shared" si="0"/>
        <v>10.532830352484979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22">
        <v>1</v>
      </c>
      <c r="V28" s="22"/>
      <c r="W28" s="22"/>
      <c r="X28" s="23"/>
      <c r="Y28" s="20">
        <f t="shared" si="2"/>
        <v>18562.29</v>
      </c>
      <c r="Z28" s="25">
        <f t="shared" si="0"/>
        <v>0.65830189703031117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1</v>
      </c>
      <c r="V29" s="38"/>
      <c r="W29" s="38"/>
      <c r="X29" s="41"/>
      <c r="Y29" s="39">
        <f t="shared" si="2"/>
        <v>18562.29</v>
      </c>
      <c r="Z29" s="42">
        <f t="shared" si="0"/>
        <v>0.65830189703031117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100</v>
      </c>
      <c r="S30" s="20">
        <f>+SUM(S6:S29)</f>
        <v>786130</v>
      </c>
      <c r="T30" s="20">
        <f>+SUM(T6:T29)</f>
        <v>100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2819722.9999999995</v>
      </c>
      <c r="Z30" s="42">
        <f>SUM(Z6:Z29)</f>
        <v>100.00000000000001</v>
      </c>
    </row>
    <row r="31" spans="1:27" ht="15.75" thickBot="1" x14ac:dyDescent="0.3">
      <c r="A31" s="150" t="s">
        <v>51</v>
      </c>
      <c r="B31" s="46" t="s">
        <v>24</v>
      </c>
      <c r="C31" s="47">
        <v>8746</v>
      </c>
      <c r="D31" s="47">
        <v>21</v>
      </c>
      <c r="E31" s="47">
        <v>24861</v>
      </c>
      <c r="F31" s="47">
        <v>33024</v>
      </c>
      <c r="G31" s="47">
        <v>136984</v>
      </c>
      <c r="H31" s="47">
        <v>21000</v>
      </c>
      <c r="I31" s="47">
        <v>0</v>
      </c>
      <c r="J31" s="47">
        <v>500774</v>
      </c>
      <c r="K31" s="47">
        <v>0</v>
      </c>
      <c r="L31" s="47">
        <v>0</v>
      </c>
      <c r="M31" s="47">
        <v>0</v>
      </c>
      <c r="N31" s="47">
        <v>3917</v>
      </c>
      <c r="O31" s="47">
        <v>43059</v>
      </c>
      <c r="P31" s="47">
        <v>0</v>
      </c>
      <c r="Q31" s="47">
        <v>11072</v>
      </c>
      <c r="R31" s="47">
        <v>2672</v>
      </c>
      <c r="S31" s="48">
        <f>SUM(C31:R31)</f>
        <v>786130</v>
      </c>
      <c r="T31" s="48">
        <f>S31*100/$S$31</f>
        <v>100</v>
      </c>
      <c r="U31" s="47">
        <v>1856229</v>
      </c>
      <c r="V31" s="47">
        <v>129013</v>
      </c>
      <c r="W31" s="47">
        <v>0</v>
      </c>
      <c r="X31" s="47">
        <v>48351</v>
      </c>
      <c r="Y31" s="48">
        <f>+S31+U31+V31+W31+X31</f>
        <v>2819723</v>
      </c>
      <c r="Z31" s="48">
        <f>Y31*100/$Y$31</f>
        <v>100</v>
      </c>
      <c r="AA31" s="49"/>
    </row>
    <row r="32" spans="1:27" ht="15.75" thickTop="1" x14ac:dyDescent="0.25">
      <c r="A32" s="151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v>328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5" x14ac:dyDescent="0.25">
      <c r="A37" s="11" t="s">
        <v>57</v>
      </c>
      <c r="B37" s="38" t="s">
        <v>172</v>
      </c>
      <c r="C37" s="38"/>
      <c r="D37" s="38"/>
      <c r="E37" s="38"/>
      <c r="F37" s="41"/>
      <c r="G37" s="10"/>
    </row>
    <row r="38" spans="1:25" x14ac:dyDescent="0.25">
      <c r="A38" t="s">
        <v>58</v>
      </c>
      <c r="G38" s="10"/>
      <c r="X38" s="81"/>
    </row>
    <row r="39" spans="1:25" ht="18.75" x14ac:dyDescent="0.3">
      <c r="A39" s="60"/>
      <c r="B39" s="61"/>
      <c r="G39" s="10"/>
      <c r="X39" s="81"/>
    </row>
    <row r="40" spans="1:25" ht="18.75" x14ac:dyDescent="0.3">
      <c r="A40" s="60"/>
      <c r="B40" s="61"/>
      <c r="G40" s="10"/>
      <c r="X40" s="8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175</v>
      </c>
      <c r="B43" s="62"/>
      <c r="C43" s="63">
        <v>2819722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8746</v>
      </c>
      <c r="D45">
        <v>21</v>
      </c>
      <c r="E45">
        <v>24861</v>
      </c>
      <c r="F45">
        <v>33024</v>
      </c>
      <c r="G45">
        <v>136984</v>
      </c>
      <c r="H45">
        <v>21000</v>
      </c>
      <c r="I45">
        <v>0</v>
      </c>
      <c r="J45">
        <v>500774</v>
      </c>
      <c r="K45">
        <v>0</v>
      </c>
      <c r="L45">
        <v>0</v>
      </c>
      <c r="M45">
        <v>0</v>
      </c>
      <c r="N45">
        <v>3917</v>
      </c>
      <c r="O45">
        <v>43059</v>
      </c>
      <c r="P45">
        <v>0</v>
      </c>
      <c r="Q45">
        <v>11072</v>
      </c>
      <c r="R45">
        <v>2672</v>
      </c>
      <c r="U45">
        <v>1856229</v>
      </c>
      <c r="V45">
        <v>129013</v>
      </c>
      <c r="W45">
        <v>0</v>
      </c>
      <c r="X45">
        <v>48351</v>
      </c>
      <c r="Y45">
        <v>2819723</v>
      </c>
    </row>
  </sheetData>
  <mergeCells count="3">
    <mergeCell ref="A1:Z2"/>
    <mergeCell ref="S4:T4"/>
    <mergeCell ref="Y4:Z4"/>
  </mergeCells>
  <pageMargins left="0.26" right="0.26" top="0.74803149606299213" bottom="0.74803149606299213" header="0.31496062992125984" footer="0.31496062992125984"/>
  <pageSetup paperSize="9" scale="5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3.140625" customWidth="1"/>
    <col min="2" max="2" width="7.28515625" customWidth="1"/>
    <col min="3" max="3" width="7.42578125" customWidth="1"/>
    <col min="4" max="5" width="12.7109375" customWidth="1"/>
    <col min="6" max="6" width="8.42578125" customWidth="1"/>
    <col min="7" max="7" width="8.140625" bestFit="1" customWidth="1"/>
    <col min="8" max="8" width="8.28515625" bestFit="1" customWidth="1"/>
    <col min="9" max="9" width="11" customWidth="1"/>
    <col min="10" max="10" width="10.7109375" customWidth="1"/>
    <col min="11" max="11" width="7.7109375" customWidth="1"/>
    <col min="12" max="12" width="6.85546875" customWidth="1"/>
    <col min="13" max="13" width="7.42578125" customWidth="1"/>
    <col min="14" max="14" width="7.85546875" bestFit="1" customWidth="1"/>
    <col min="15" max="15" width="9" customWidth="1"/>
    <col min="16" max="16" width="7" bestFit="1" customWidth="1"/>
    <col min="17" max="17" width="7.28515625" bestFit="1" customWidth="1"/>
    <col min="18" max="18" width="6.42578125" bestFit="1" customWidth="1"/>
    <col min="19" max="19" width="10.85546875" customWidth="1"/>
    <col min="20" max="20" width="7.28515625" customWidth="1"/>
    <col min="21" max="21" width="10" customWidth="1"/>
    <col min="22" max="22" width="11.140625" bestFit="1" customWidth="1"/>
    <col min="23" max="23" width="9.28515625" bestFit="1" customWidth="1"/>
    <col min="24" max="24" width="14" bestFit="1" customWidth="1"/>
    <col min="25" max="25" width="11.28515625" customWidth="1"/>
    <col min="26" max="26" width="6" customWidth="1"/>
    <col min="27" max="27" width="1.85546875" customWidth="1"/>
  </cols>
  <sheetData>
    <row r="1" spans="1:29" ht="15" customHeight="1" x14ac:dyDescent="0.25">
      <c r="A1" s="325" t="s">
        <v>216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3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5</v>
      </c>
      <c r="G6" s="19"/>
      <c r="H6" s="19">
        <v>15</v>
      </c>
      <c r="I6" s="19"/>
      <c r="J6" s="19">
        <v>2</v>
      </c>
      <c r="K6" s="19"/>
      <c r="L6" s="19"/>
      <c r="M6" s="19"/>
      <c r="N6" s="19"/>
      <c r="O6" s="19"/>
      <c r="P6" s="19"/>
      <c r="Q6" s="19">
        <v>15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26867.88</v>
      </c>
      <c r="T6" s="140">
        <f>S6*100/$S$31</f>
        <v>1.9784350500023196</v>
      </c>
      <c r="U6" s="22"/>
      <c r="V6" s="22"/>
      <c r="W6" s="22"/>
      <c r="X6" s="23"/>
      <c r="Y6" s="20">
        <f>U6/100*$U$31+V6/100*$V$31+W6/100*$W$31+X6/100*$X$31+S6</f>
        <v>26867.88</v>
      </c>
      <c r="Z6" s="25">
        <f t="shared" ref="Z6:Z29" si="0">Y6*100/$Y$31</f>
        <v>1.4072839894804161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>
        <v>2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26278.58</v>
      </c>
      <c r="T7" s="21">
        <f t="shared" ref="T7:T29" si="2">S7*100/$S$31</f>
        <v>1.935041534214458</v>
      </c>
      <c r="U7" s="22"/>
      <c r="V7" s="22"/>
      <c r="W7" s="22"/>
      <c r="X7" s="23"/>
      <c r="Y7" s="20">
        <f t="shared" ref="Y7:Y29" si="3">U7/100*$U$31+V7/100*$V$31+W7/100*$W$31+X7/100*$X$31+S7</f>
        <v>26278.58</v>
      </c>
      <c r="Z7" s="25">
        <f t="shared" si="0"/>
        <v>1.3764176741998355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>
        <v>2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26278.58</v>
      </c>
      <c r="T8" s="21">
        <f t="shared" si="2"/>
        <v>1.935041534214458</v>
      </c>
      <c r="U8" s="22"/>
      <c r="V8" s="22"/>
      <c r="W8" s="22"/>
      <c r="X8" s="23"/>
      <c r="Y8" s="20">
        <f t="shared" si="3"/>
        <v>26278.58</v>
      </c>
      <c r="Z8" s="25">
        <f t="shared" si="0"/>
        <v>1.3764176741998355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>
        <v>30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463.79999999999995</v>
      </c>
      <c r="T11" s="21">
        <f t="shared" si="2"/>
        <v>3.4152235911098144E-2</v>
      </c>
      <c r="U11" s="22"/>
      <c r="V11" s="22"/>
      <c r="W11" s="22"/>
      <c r="X11" s="23"/>
      <c r="Y11" s="20">
        <f t="shared" si="3"/>
        <v>463.79999999999995</v>
      </c>
      <c r="Z11" s="25">
        <f t="shared" si="0"/>
        <v>2.4292884824594158E-2</v>
      </c>
    </row>
    <row r="12" spans="1:29" x14ac:dyDescent="0.25">
      <c r="A12" s="3" t="s">
        <v>32</v>
      </c>
      <c r="B12" s="27" t="s">
        <v>25</v>
      </c>
      <c r="C12" s="22">
        <v>20</v>
      </c>
      <c r="D12" s="22"/>
      <c r="E12" s="22"/>
      <c r="F12" s="22"/>
      <c r="G12" s="22"/>
      <c r="H12" s="22"/>
      <c r="I12" s="22"/>
      <c r="J12" s="22">
        <v>81</v>
      </c>
      <c r="K12" s="22"/>
      <c r="L12" s="22"/>
      <c r="M12" s="22"/>
      <c r="N12" s="22"/>
      <c r="O12" s="22"/>
      <c r="P12" s="22"/>
      <c r="Q12" s="22"/>
      <c r="R12" s="22"/>
      <c r="S12" s="20">
        <f t="shared" si="1"/>
        <v>1064591.69</v>
      </c>
      <c r="T12" s="21">
        <f t="shared" si="2"/>
        <v>78.391950292959621</v>
      </c>
      <c r="U12" s="22">
        <v>20</v>
      </c>
      <c r="V12" s="22"/>
      <c r="W12" s="22"/>
      <c r="X12" s="23"/>
      <c r="Y12" s="20">
        <f t="shared" si="3"/>
        <v>1171287.69</v>
      </c>
      <c r="Z12" s="25">
        <f t="shared" si="0"/>
        <v>61.349626885801968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>
        <v>8</v>
      </c>
      <c r="K13" s="22"/>
      <c r="L13" s="22"/>
      <c r="M13" s="22"/>
      <c r="N13" s="22"/>
      <c r="O13" s="22"/>
      <c r="P13" s="22"/>
      <c r="Q13" s="22"/>
      <c r="R13" s="22"/>
      <c r="S13" s="20">
        <f t="shared" si="1"/>
        <v>105114.32</v>
      </c>
      <c r="T13" s="21">
        <f t="shared" si="2"/>
        <v>7.7401661368578321</v>
      </c>
      <c r="U13" s="22"/>
      <c r="V13" s="22"/>
      <c r="W13" s="22"/>
      <c r="X13" s="23"/>
      <c r="Y13" s="20">
        <f t="shared" si="3"/>
        <v>105114.32</v>
      </c>
      <c r="Z13" s="25">
        <f t="shared" si="0"/>
        <v>5.5056706967993421</v>
      </c>
    </row>
    <row r="14" spans="1:29" x14ac:dyDescent="0.25">
      <c r="A14" s="29" t="s">
        <v>34</v>
      </c>
      <c r="B14" s="30" t="s">
        <v>25</v>
      </c>
      <c r="C14" s="22">
        <v>30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463.79999999999995</v>
      </c>
      <c r="T14" s="21">
        <f t="shared" si="2"/>
        <v>3.4152235911098144E-2</v>
      </c>
      <c r="U14" s="22">
        <v>15</v>
      </c>
      <c r="V14" s="22"/>
      <c r="W14" s="22"/>
      <c r="X14" s="23"/>
      <c r="Y14" s="20">
        <f t="shared" si="3"/>
        <v>80485.8</v>
      </c>
      <c r="Z14" s="25">
        <f t="shared" si="0"/>
        <v>4.2156797529437711</v>
      </c>
    </row>
    <row r="15" spans="1:29" x14ac:dyDescent="0.25">
      <c r="A15" s="31" t="s">
        <v>35</v>
      </c>
      <c r="B15" s="18" t="s">
        <v>25</v>
      </c>
      <c r="C15" s="32">
        <v>20</v>
      </c>
      <c r="D15" s="22"/>
      <c r="E15" s="22"/>
      <c r="F15" s="22">
        <v>20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799.2</v>
      </c>
      <c r="T15" s="21">
        <f t="shared" si="2"/>
        <v>5.8849648426368355E-2</v>
      </c>
      <c r="U15" s="22"/>
      <c r="V15" s="33"/>
      <c r="W15" s="33"/>
      <c r="X15" s="23"/>
      <c r="Y15" s="20">
        <f t="shared" si="3"/>
        <v>799.2</v>
      </c>
      <c r="Z15" s="25">
        <f t="shared" si="0"/>
        <v>4.1860443190633152E-2</v>
      </c>
    </row>
    <row r="16" spans="1:29" x14ac:dyDescent="0.25">
      <c r="A16" s="193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37000</v>
      </c>
      <c r="T16" s="21">
        <f t="shared" si="2"/>
        <v>2.7245207604800163</v>
      </c>
      <c r="U16" s="22"/>
      <c r="V16" s="33"/>
      <c r="W16" s="33"/>
      <c r="X16" s="23"/>
      <c r="Y16" s="20">
        <f t="shared" si="3"/>
        <v>37000</v>
      </c>
      <c r="Z16" s="25">
        <f t="shared" si="0"/>
        <v>1.9379834810478309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75</v>
      </c>
      <c r="G17" s="22"/>
      <c r="H17" s="22">
        <v>85</v>
      </c>
      <c r="I17" s="22"/>
      <c r="J17" s="22">
        <v>5</v>
      </c>
      <c r="K17" s="22"/>
      <c r="L17" s="22"/>
      <c r="M17" s="22"/>
      <c r="N17" s="22"/>
      <c r="O17" s="22"/>
      <c r="P17" s="22"/>
      <c r="Q17" s="22">
        <v>85</v>
      </c>
      <c r="R17" s="22"/>
      <c r="S17" s="20">
        <f>C17/100*$C$31+D17/100*$D$31+E17/100*$E$31+F17/100*$F$31+G17/100*$G$31+H17/100*$H$31+I17/100*$I$31+J17/100*$J$31+K17/100*$K$31+L17/100*$L$31+M17/100*$M$31+N17/100*$N$31+O17/100*$O$31+P17/100*$P$31+Q17/100*$Q$31+R17/100*$R$31</f>
        <v>70179.149999999994</v>
      </c>
      <c r="T17" s="21">
        <f t="shared" si="2"/>
        <v>5.1676905710227325</v>
      </c>
      <c r="U17" s="33"/>
      <c r="V17" s="22">
        <v>100</v>
      </c>
      <c r="W17" s="22"/>
      <c r="X17" s="23">
        <v>100</v>
      </c>
      <c r="Y17" s="20">
        <f t="shared" si="3"/>
        <v>87863.15</v>
      </c>
      <c r="Z17" s="25">
        <f t="shared" si="0"/>
        <v>4.602090088995344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5</v>
      </c>
      <c r="V19" s="22"/>
      <c r="W19" s="22"/>
      <c r="X19" s="23"/>
      <c r="Y19" s="20">
        <f t="shared" si="3"/>
        <v>26674</v>
      </c>
      <c r="Z19" s="25">
        <f t="shared" si="0"/>
        <v>1.3971289560397255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5</v>
      </c>
      <c r="V20" s="22"/>
      <c r="W20" s="22"/>
      <c r="X20" s="23"/>
      <c r="Y20" s="20">
        <f t="shared" si="3"/>
        <v>26674</v>
      </c>
      <c r="Z20" s="25">
        <f t="shared" si="0"/>
        <v>1.3971289560397255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2</v>
      </c>
      <c r="V23" s="22"/>
      <c r="W23" s="22"/>
      <c r="X23" s="23"/>
      <c r="Y23" s="20">
        <f t="shared" si="3"/>
        <v>10669.6</v>
      </c>
      <c r="Z23" s="25">
        <f t="shared" si="0"/>
        <v>0.55885158241589017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15</v>
      </c>
      <c r="V24" s="22"/>
      <c r="W24" s="22"/>
      <c r="X24" s="23"/>
      <c r="Y24" s="20">
        <f t="shared" si="3"/>
        <v>80022</v>
      </c>
      <c r="Z24" s="25">
        <f t="shared" si="0"/>
        <v>4.1913868681191762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19</v>
      </c>
      <c r="V25" s="22"/>
      <c r="W25" s="22"/>
      <c r="X25" s="23"/>
      <c r="Y25" s="20">
        <f t="shared" si="3"/>
        <v>101361.2</v>
      </c>
      <c r="Z25" s="25">
        <f t="shared" si="0"/>
        <v>5.3090900329509569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19</v>
      </c>
      <c r="V27" s="22"/>
      <c r="W27" s="22"/>
      <c r="X27" s="23"/>
      <c r="Y27" s="20">
        <f t="shared" si="3"/>
        <v>101361.2</v>
      </c>
      <c r="Z27" s="25">
        <f t="shared" si="0"/>
        <v>5.3090900329509569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/>
      <c r="V28" s="22"/>
      <c r="W28" s="22"/>
      <c r="X28" s="23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1358037</v>
      </c>
      <c r="T30" s="20">
        <f>+SUM(T6:T29)</f>
        <v>100.00000000000001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1909201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1546</v>
      </c>
      <c r="D31" s="47">
        <v>0</v>
      </c>
      <c r="E31" s="47">
        <v>3351</v>
      </c>
      <c r="F31" s="47">
        <v>2450</v>
      </c>
      <c r="G31" s="47">
        <v>33649</v>
      </c>
      <c r="H31" s="47">
        <v>483</v>
      </c>
      <c r="I31" s="47">
        <v>0</v>
      </c>
      <c r="J31" s="47">
        <v>1313929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2629</v>
      </c>
      <c r="R31" s="47">
        <v>0</v>
      </c>
      <c r="S31" s="48">
        <f>SUM(C31:R31)</f>
        <v>1358037</v>
      </c>
      <c r="T31" s="48">
        <f>S31*100/$S$31</f>
        <v>100</v>
      </c>
      <c r="U31" s="47">
        <v>533480</v>
      </c>
      <c r="V31" s="47">
        <v>11074</v>
      </c>
      <c r="W31" s="47">
        <v>0</v>
      </c>
      <c r="X31" s="47">
        <v>6610</v>
      </c>
      <c r="Y31" s="48">
        <f>+S31+U31+V31+W31+X31</f>
        <v>1909201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7"/>
      <c r="G34" s="58"/>
    </row>
    <row r="35" spans="1:25" x14ac:dyDescent="0.25">
      <c r="A35" s="59" t="s">
        <v>54</v>
      </c>
      <c r="B35" s="22"/>
      <c r="C35" s="22"/>
      <c r="D35" s="22"/>
      <c r="E35" s="22"/>
      <c r="F35" s="22"/>
      <c r="G35" s="67"/>
    </row>
    <row r="36" spans="1:25" x14ac:dyDescent="0.25">
      <c r="A36" s="59" t="s">
        <v>56</v>
      </c>
      <c r="B36" s="22" t="s">
        <v>217</v>
      </c>
      <c r="C36" s="22"/>
      <c r="D36" s="22"/>
      <c r="E36" s="22"/>
      <c r="F36" s="22"/>
      <c r="G36" s="67"/>
    </row>
    <row r="37" spans="1:25" x14ac:dyDescent="0.25">
      <c r="A37" s="11" t="s">
        <v>57</v>
      </c>
      <c r="B37" s="38"/>
      <c r="C37" s="38"/>
      <c r="D37" s="38"/>
      <c r="E37" s="38"/>
      <c r="F37" s="38"/>
      <c r="G37" s="53"/>
    </row>
    <row r="38" spans="1:25" x14ac:dyDescent="0.25">
      <c r="A38" t="s">
        <v>58</v>
      </c>
      <c r="G38" s="10"/>
    </row>
    <row r="39" spans="1:25" ht="18.75" x14ac:dyDescent="0.3">
      <c r="A39" s="60"/>
      <c r="B39" s="61"/>
      <c r="G39" s="10"/>
    </row>
    <row r="40" spans="1:25" ht="18.75" x14ac:dyDescent="0.3">
      <c r="A40" s="60"/>
      <c r="B40" s="61"/>
    </row>
    <row r="41" spans="1:25" x14ac:dyDescent="0.25">
      <c r="B41">
        <v>1546</v>
      </c>
      <c r="C41">
        <v>0</v>
      </c>
      <c r="D41">
        <v>3351</v>
      </c>
      <c r="E41">
        <v>2450</v>
      </c>
      <c r="F41">
        <v>33649</v>
      </c>
      <c r="G41">
        <v>483</v>
      </c>
      <c r="H41">
        <v>0</v>
      </c>
      <c r="I41">
        <v>1313929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2629</v>
      </c>
      <c r="Q41">
        <v>0</v>
      </c>
      <c r="U41">
        <v>533480</v>
      </c>
      <c r="V41">
        <v>11074</v>
      </c>
      <c r="W41">
        <v>0</v>
      </c>
      <c r="X41">
        <v>6610</v>
      </c>
      <c r="Y41">
        <v>1909201</v>
      </c>
    </row>
    <row r="42" spans="1:25" x14ac:dyDescent="0.25">
      <c r="A42" s="10"/>
      <c r="C42" s="62"/>
      <c r="D42" s="62"/>
      <c r="E42" s="62"/>
    </row>
    <row r="43" spans="1:25" x14ac:dyDescent="0.25">
      <c r="A43" s="62"/>
      <c r="B43" s="62"/>
      <c r="C43" s="63"/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</row>
  </sheetData>
  <mergeCells count="3">
    <mergeCell ref="A1:Z2"/>
    <mergeCell ref="S4:T4"/>
    <mergeCell ref="Y4:Z4"/>
  </mergeCells>
  <pageMargins left="0.27" right="0.19" top="0.74803149606299213" bottom="0.74803149606299213" header="0.31496062992125984" footer="0.31496062992125984"/>
  <pageSetup paperSize="9" scale="5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7"/>
  <sheetViews>
    <sheetView zoomScale="90" zoomScaleNormal="90" workbookViewId="0">
      <selection activeCell="T30" sqref="T30"/>
    </sheetView>
  </sheetViews>
  <sheetFormatPr defaultRowHeight="15" x14ac:dyDescent="0.25"/>
  <cols>
    <col min="1" max="1" width="32.140625" customWidth="1"/>
    <col min="2" max="2" width="6.28515625" customWidth="1"/>
    <col min="3" max="3" width="8.140625" customWidth="1"/>
    <col min="4" max="5" width="12.42578125" customWidth="1"/>
    <col min="6" max="6" width="9.42578125" customWidth="1"/>
    <col min="7" max="7" width="9.140625" customWidth="1"/>
    <col min="8" max="8" width="8.28515625" bestFit="1" customWidth="1"/>
    <col min="9" max="9" width="11.5703125" customWidth="1"/>
    <col min="10" max="10" width="8.5703125" customWidth="1"/>
    <col min="11" max="11" width="9.140625" customWidth="1"/>
    <col min="12" max="12" width="8.85546875" customWidth="1"/>
    <col min="13" max="13" width="5.7109375" bestFit="1" customWidth="1"/>
    <col min="14" max="14" width="7.85546875" bestFit="1" customWidth="1"/>
    <col min="15" max="15" width="9.42578125" customWidth="1"/>
    <col min="16" max="16" width="7" bestFit="1" customWidth="1"/>
    <col min="17" max="17" width="7.28515625" bestFit="1" customWidth="1"/>
    <col min="18" max="18" width="10.42578125" customWidth="1"/>
    <col min="19" max="19" width="10.140625" customWidth="1"/>
    <col min="20" max="20" width="7.42578125" customWidth="1"/>
    <col min="21" max="21" width="10.5703125" customWidth="1"/>
    <col min="22" max="22" width="10" customWidth="1"/>
    <col min="23" max="23" width="8.5703125" customWidth="1"/>
    <col min="24" max="24" width="11.42578125" customWidth="1"/>
    <col min="25" max="25" width="10.85546875" customWidth="1"/>
    <col min="26" max="26" width="6" customWidth="1"/>
    <col min="27" max="27" width="1.85546875" customWidth="1"/>
  </cols>
  <sheetData>
    <row r="1" spans="1:29" ht="15" customHeight="1" x14ac:dyDescent="0.25">
      <c r="A1" s="325" t="s">
        <v>111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22" t="s">
        <v>1</v>
      </c>
      <c r="C4" s="122" t="s">
        <v>2</v>
      </c>
      <c r="D4" s="5" t="s">
        <v>3</v>
      </c>
      <c r="E4" s="5" t="s">
        <v>4</v>
      </c>
      <c r="F4" s="5" t="s">
        <v>102</v>
      </c>
      <c r="G4" s="123" t="s">
        <v>6</v>
      </c>
      <c r="H4" s="123" t="s">
        <v>7</v>
      </c>
      <c r="I4" s="5" t="s">
        <v>101</v>
      </c>
      <c r="J4" s="123" t="s">
        <v>9</v>
      </c>
      <c r="K4" s="123" t="s">
        <v>10</v>
      </c>
      <c r="L4" s="123" t="s">
        <v>11</v>
      </c>
      <c r="M4" s="123" t="s">
        <v>12</v>
      </c>
      <c r="N4" s="123" t="s">
        <v>13</v>
      </c>
      <c r="O4" s="5" t="s">
        <v>14</v>
      </c>
      <c r="P4" s="123" t="s">
        <v>15</v>
      </c>
      <c r="Q4" s="123" t="s">
        <v>16</v>
      </c>
      <c r="R4" s="123" t="s">
        <v>17</v>
      </c>
      <c r="S4" s="327" t="s">
        <v>18</v>
      </c>
      <c r="T4" s="328"/>
      <c r="U4" s="122" t="s">
        <v>19</v>
      </c>
      <c r="V4" s="123" t="s">
        <v>20</v>
      </c>
      <c r="W4" s="7" t="s">
        <v>21</v>
      </c>
      <c r="X4" s="7" t="s">
        <v>22</v>
      </c>
      <c r="Y4" s="329" t="s">
        <v>23</v>
      </c>
      <c r="Z4" s="330"/>
      <c r="AA4" s="119"/>
      <c r="AB4" s="119"/>
      <c r="AC4" s="11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0" t="s">
        <v>25</v>
      </c>
      <c r="U5" s="120" t="s">
        <v>25</v>
      </c>
      <c r="V5" s="120" t="s">
        <v>25</v>
      </c>
      <c r="W5" s="120" t="s">
        <v>25</v>
      </c>
      <c r="X5" s="12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33">
        <v>1.8029999999999999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5783.6592972640083</v>
      </c>
      <c r="T6" s="140">
        <f>S6*100/$S$31</f>
        <v>6.2397064948809269E-2</v>
      </c>
      <c r="U6" s="250"/>
      <c r="V6" s="22"/>
      <c r="W6" s="22"/>
      <c r="X6" s="23"/>
      <c r="Y6" s="20">
        <f>U6/100*$U$31+V6/100*$V$31+W6/100*$W$31+X6/100*$X$31+S6</f>
        <v>5783.6592972640083</v>
      </c>
      <c r="Z6" s="25">
        <f t="shared" ref="Z6:Z28" si="0">Y6*100/$Y$31</f>
        <v>5.5833107047541214E-2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134">
        <v>40.609000000000002</v>
      </c>
      <c r="G7" s="22"/>
      <c r="H7" s="134">
        <v>41.609849787981076</v>
      </c>
      <c r="I7" s="134">
        <v>41.609849787981076</v>
      </c>
      <c r="J7" s="22"/>
      <c r="K7" s="134">
        <v>41.609849787981076</v>
      </c>
      <c r="L7" s="134">
        <v>41.609849787981076</v>
      </c>
      <c r="M7" s="22"/>
      <c r="N7" s="22"/>
      <c r="O7" s="22"/>
      <c r="P7" s="22"/>
      <c r="Q7" s="22"/>
      <c r="R7" s="134">
        <v>41.609849787981076</v>
      </c>
      <c r="S7" s="20">
        <f>C7/100*$C$31+D7/100*$D$31+E7/100*$E$31+F7/100*$F$31+G7/100*$G$31+H7/100*$H$31+I7/100*$I$31+J7/100*$J$31+K7/100*$K$31+L7/100*$L$31+M7/100*$M$31+N7/100*$N$31+O7/100*$O$31+P7/100*$P$31+Q7/100*$Q$31+R7/100*$R$31</f>
        <v>3790086.2137656743</v>
      </c>
      <c r="T7" s="21">
        <f t="shared" ref="T7:T29" si="1">S7*100/$S$31</f>
        <v>40.889382221009527</v>
      </c>
      <c r="U7" s="22"/>
      <c r="V7" s="22"/>
      <c r="W7" s="22"/>
      <c r="X7" s="23"/>
      <c r="Y7" s="20">
        <f t="shared" ref="Y7:Y29" si="2">U7/100*$U$31+V7/100*$V$31+W7/100*$W$31+X7/100*$X$31+S7</f>
        <v>3790086.2137656743</v>
      </c>
      <c r="Z7" s="25">
        <f t="shared" si="0"/>
        <v>36.58795900939279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134">
        <v>9.6319999999999997</v>
      </c>
      <c r="G8" s="22"/>
      <c r="H8" s="134">
        <v>9.6329133582736546</v>
      </c>
      <c r="I8" s="134">
        <v>9.6329133582736546</v>
      </c>
      <c r="J8" s="22"/>
      <c r="K8" s="134">
        <v>9.6329133582736546</v>
      </c>
      <c r="L8" s="134">
        <v>9.6329133582736546</v>
      </c>
      <c r="M8" s="22"/>
      <c r="N8" s="22"/>
      <c r="O8" s="22"/>
      <c r="P8" s="22"/>
      <c r="Q8" s="22"/>
      <c r="R8" s="134">
        <v>9.6329133582736546</v>
      </c>
      <c r="S8" s="20">
        <f>C8/100*$C$31+D8/100*$D$31+E8/100*$E$31+F8/100*$F$31+G8/100*$G$31+H8/100*$H$31+I8/100*$I$31+J8/100*$J$31+K8/100*$K$31+L8/100*$L$31+M8/100*$M$31+N8/100*$N$31+O8/100*$O$31+P8/100*$P$31+Q8/100*$Q$31+R8/100*$R$31</f>
        <v>878166.51799416391</v>
      </c>
      <c r="T8" s="21">
        <f t="shared" si="1"/>
        <v>9.4741080763648391</v>
      </c>
      <c r="U8" s="22"/>
      <c r="V8" s="22"/>
      <c r="W8" s="22"/>
      <c r="X8" s="23"/>
      <c r="Y8" s="20">
        <f t="shared" si="2"/>
        <v>878166.51799416391</v>
      </c>
      <c r="Z8" s="25">
        <f t="shared" si="0"/>
        <v>8.4774642980662698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134"/>
      <c r="J9" s="22"/>
      <c r="K9" s="22"/>
      <c r="L9" s="22"/>
      <c r="M9" s="22"/>
      <c r="N9" s="22"/>
      <c r="O9" s="22"/>
      <c r="P9" s="22"/>
      <c r="Q9" s="22"/>
      <c r="R9" s="22"/>
      <c r="S9" s="20">
        <f t="shared" ref="S9:S29" si="3">C9/100*$C$31+D9/100*$D$31+E9/100*$E$31+F9/100*$F$31+G9/100*$G$31+H9/100*$H$31+I9/100*$I$31+J9/100*$J$31+K9/100*$K$31+L9/100*$L$31+M9/100*$M$31+N9/100*$N$31+O9/100*$O$31+P9/100*$P$31+Q9/100*$Q$31+R9/100*$R$31</f>
        <v>0</v>
      </c>
      <c r="T9" s="21">
        <f t="shared" si="1"/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134"/>
      <c r="J10" s="22"/>
      <c r="K10" s="22"/>
      <c r="L10" s="22"/>
      <c r="M10" s="22"/>
      <c r="N10" s="22"/>
      <c r="O10" s="22"/>
      <c r="P10" s="22"/>
      <c r="Q10" s="22"/>
      <c r="R10" s="22"/>
      <c r="S10" s="20">
        <f>C10/100*$C$31+D10/100*$D$31+E10/100*$E$31+F10/100*$F$31+G10/100*$G$31+H10/100*$H$31+I10/100*$I$31+J10/100*$J$31+K10/100*$K$31+L10/100*$L$31+M10/100*$M$31+N10/100*$N$31+O10/100*$O$31+P10/100*$P$31+Q10/100*$Q$31+R10/100*$R$31</f>
        <v>0</v>
      </c>
      <c r="T10" s="21">
        <f t="shared" si="1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134">
        <v>29.524000000000001</v>
      </c>
      <c r="G11" s="22"/>
      <c r="H11" s="134">
        <v>30.324505928076732</v>
      </c>
      <c r="I11" s="134">
        <v>30.324505928076732</v>
      </c>
      <c r="J11" s="22"/>
      <c r="K11" s="134">
        <v>30.324505928076732</v>
      </c>
      <c r="L11" s="134">
        <v>30.324505928076732</v>
      </c>
      <c r="M11" s="22"/>
      <c r="N11" s="22"/>
      <c r="O11" s="22"/>
      <c r="P11" s="22"/>
      <c r="Q11" s="22"/>
      <c r="R11" s="134">
        <v>30.324505928076732</v>
      </c>
      <c r="S11" s="20">
        <f t="shared" si="3"/>
        <v>2761918.1917876555</v>
      </c>
      <c r="T11" s="21">
        <f t="shared" si="1"/>
        <v>29.796981450445479</v>
      </c>
      <c r="U11" s="22"/>
      <c r="V11" s="22"/>
      <c r="W11" s="22"/>
      <c r="X11" s="23"/>
      <c r="Y11" s="20">
        <f t="shared" si="2"/>
        <v>2761918.1917876555</v>
      </c>
      <c r="Z11" s="25">
        <f t="shared" si="0"/>
        <v>26.662440875723753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134">
        <v>6.2190000000000003</v>
      </c>
      <c r="G12" s="22"/>
      <c r="H12" s="134">
        <v>6.2193398220102587</v>
      </c>
      <c r="I12" s="134">
        <v>6.2193398220102587</v>
      </c>
      <c r="J12" s="22"/>
      <c r="K12" s="134">
        <v>6.2193398220102587</v>
      </c>
      <c r="L12" s="134">
        <v>6.2193398220102587</v>
      </c>
      <c r="M12" s="22"/>
      <c r="N12" s="22"/>
      <c r="O12" s="22"/>
      <c r="P12" s="22"/>
      <c r="Q12" s="22"/>
      <c r="R12" s="134">
        <v>6.2193398220102587</v>
      </c>
      <c r="S12" s="20">
        <f t="shared" si="3"/>
        <v>566975.27671894128</v>
      </c>
      <c r="T12" s="21">
        <f t="shared" si="1"/>
        <v>6.1168183233988991</v>
      </c>
      <c r="U12" s="22"/>
      <c r="V12" s="22"/>
      <c r="W12" s="22"/>
      <c r="X12" s="23"/>
      <c r="Y12" s="20">
        <f t="shared" si="2"/>
        <v>566975.27671894128</v>
      </c>
      <c r="Z12" s="25">
        <f t="shared" si="0"/>
        <v>5.4733499487656525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134">
        <v>12.212999999999999</v>
      </c>
      <c r="G13" s="22"/>
      <c r="H13" s="134">
        <v>12.213391103658285</v>
      </c>
      <c r="I13" s="134">
        <v>12.213391103658285</v>
      </c>
      <c r="J13" s="22"/>
      <c r="K13" s="134">
        <v>12.213391103658285</v>
      </c>
      <c r="L13" s="134">
        <v>12.213391103658285</v>
      </c>
      <c r="M13" s="22"/>
      <c r="N13" s="22"/>
      <c r="O13" s="22"/>
      <c r="P13" s="22"/>
      <c r="Q13" s="22"/>
      <c r="R13" s="134">
        <v>12.213391103658285</v>
      </c>
      <c r="S13" s="20">
        <f t="shared" si="3"/>
        <v>1113413.402347829</v>
      </c>
      <c r="T13" s="21">
        <f t="shared" si="1"/>
        <v>12.012071391210252</v>
      </c>
      <c r="U13" s="22"/>
      <c r="V13" s="22"/>
      <c r="W13" s="22"/>
      <c r="X13" s="23"/>
      <c r="Y13" s="20">
        <f t="shared" si="2"/>
        <v>1113413.402347829</v>
      </c>
      <c r="Z13" s="25">
        <f t="shared" si="0"/>
        <v>10.748442549314939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134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3"/>
        <v>0</v>
      </c>
      <c r="T14" s="21">
        <f t="shared" si="1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143">
        <v>100</v>
      </c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3"/>
        <v>36979.736770926313</v>
      </c>
      <c r="T15" s="21">
        <f t="shared" si="1"/>
        <v>0.39895625217358505</v>
      </c>
      <c r="U15" s="22"/>
      <c r="V15" s="33"/>
      <c r="W15" s="22"/>
      <c r="X15" s="23"/>
      <c r="Y15" s="20">
        <f t="shared" si="2"/>
        <v>36979.736770926313</v>
      </c>
      <c r="Z15" s="25">
        <f t="shared" si="0"/>
        <v>0.35698741844937848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3"/>
        <v>115797.75564940498</v>
      </c>
      <c r="T16" s="21">
        <f t="shared" si="1"/>
        <v>1.2492852204486355</v>
      </c>
      <c r="U16" s="22"/>
      <c r="V16" s="33"/>
      <c r="W16" s="22"/>
      <c r="X16" s="23"/>
      <c r="Y16" s="20">
        <f>U16/100*$U$31+V16/100*$V$31+W16/100*$W$31+X16/100*$X$31+S16</f>
        <v>115797.75564940498</v>
      </c>
      <c r="Z16" s="25">
        <f>Y16*100/$Y$31</f>
        <v>1.1178646864791493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0">
        <f t="shared" si="3"/>
        <v>0</v>
      </c>
      <c r="T17" s="21">
        <f t="shared" si="1"/>
        <v>0</v>
      </c>
      <c r="U17" s="33"/>
      <c r="V17" s="22"/>
      <c r="W17" s="22"/>
      <c r="X17" s="23"/>
      <c r="Y17" s="20">
        <f t="shared" si="2"/>
        <v>0</v>
      </c>
      <c r="Z17" s="25">
        <f t="shared" si="0"/>
        <v>0</v>
      </c>
    </row>
    <row r="18" spans="1:27" x14ac:dyDescent="0.25">
      <c r="A18" s="35" t="s">
        <v>38</v>
      </c>
      <c r="B18" s="12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3"/>
        <v>0</v>
      </c>
      <c r="T18" s="21">
        <f t="shared" si="1"/>
        <v>0</v>
      </c>
      <c r="U18" s="33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3"/>
        <v>0</v>
      </c>
      <c r="T19" s="21">
        <f t="shared" si="1"/>
        <v>0</v>
      </c>
      <c r="U19" s="33">
        <v>4.7634060588162521</v>
      </c>
      <c r="V19" s="22"/>
      <c r="W19" s="22"/>
      <c r="X19" s="23"/>
      <c r="Y19" s="20">
        <f t="shared" si="2"/>
        <v>51907.502699768935</v>
      </c>
      <c r="Z19" s="25">
        <f t="shared" si="0"/>
        <v>0.50109403162418686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3"/>
        <v>0</v>
      </c>
      <c r="T20" s="21">
        <f t="shared" si="1"/>
        <v>0</v>
      </c>
      <c r="U20" s="33">
        <v>6.6686088507724168</v>
      </c>
      <c r="V20" s="22"/>
      <c r="W20" s="22"/>
      <c r="X20" s="23"/>
      <c r="Y20" s="20">
        <f t="shared" si="2"/>
        <v>72668.764252106135</v>
      </c>
      <c r="Z20" s="25">
        <f t="shared" si="0"/>
        <v>0.70151485157843185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3"/>
        <v>0</v>
      </c>
      <c r="T21" s="21">
        <f t="shared" si="1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3"/>
        <v>0</v>
      </c>
      <c r="T22" s="21">
        <f t="shared" si="1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3"/>
        <v>0</v>
      </c>
      <c r="T23" s="21">
        <f t="shared" si="1"/>
        <v>0</v>
      </c>
      <c r="U23" s="33"/>
      <c r="V23" s="22"/>
      <c r="W23" s="22"/>
      <c r="X23" s="23"/>
      <c r="Y23" s="20">
        <f t="shared" si="2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3"/>
        <v>0</v>
      </c>
      <c r="T24" s="21">
        <f t="shared" si="1"/>
        <v>0</v>
      </c>
      <c r="U24" s="33">
        <v>1.9052027919561656</v>
      </c>
      <c r="V24" s="22"/>
      <c r="W24" s="22"/>
      <c r="X24" s="23"/>
      <c r="Y24" s="20">
        <f t="shared" si="2"/>
        <v>20761.261552337208</v>
      </c>
      <c r="Z24" s="25">
        <f t="shared" si="0"/>
        <v>0.20042081995424499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3"/>
        <v>0</v>
      </c>
      <c r="T25" s="21">
        <f t="shared" si="1"/>
        <v>0</v>
      </c>
      <c r="U25" s="33">
        <v>5.7160074547943358</v>
      </c>
      <c r="V25" s="22"/>
      <c r="W25" s="22"/>
      <c r="X25" s="23"/>
      <c r="Y25" s="20">
        <f t="shared" si="2"/>
        <v>62288.133475937546</v>
      </c>
      <c r="Z25" s="25">
        <f t="shared" si="0"/>
        <v>0.60130444160130947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3"/>
        <v>0</v>
      </c>
      <c r="T26" s="21">
        <f t="shared" si="1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3"/>
        <v>0</v>
      </c>
      <c r="T27" s="21">
        <f t="shared" si="1"/>
        <v>0</v>
      </c>
      <c r="U27" s="33">
        <v>76.211703388579167</v>
      </c>
      <c r="V27" s="22"/>
      <c r="W27" s="22"/>
      <c r="X27" s="23"/>
      <c r="Y27" s="20">
        <f t="shared" si="2"/>
        <v>830489.6014638216</v>
      </c>
      <c r="Z27" s="25">
        <f t="shared" si="0"/>
        <v>8.0172106338169691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3"/>
        <v>0</v>
      </c>
      <c r="T28" s="21">
        <f t="shared" si="1"/>
        <v>0</v>
      </c>
      <c r="U28" s="33"/>
      <c r="V28" s="22"/>
      <c r="W28" s="22"/>
      <c r="X28" s="23"/>
      <c r="Y28" s="20">
        <f t="shared" si="2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3"/>
        <v>0</v>
      </c>
      <c r="T29" s="40">
        <f t="shared" si="1"/>
        <v>0</v>
      </c>
      <c r="U29" s="137">
        <v>4.7350714550816715</v>
      </c>
      <c r="V29" s="38"/>
      <c r="W29" s="38"/>
      <c r="X29" s="41"/>
      <c r="Y29" s="39">
        <f t="shared" si="2"/>
        <v>51598.736556028685</v>
      </c>
      <c r="Z29" s="42">
        <f>Y29*100/$Y$31</f>
        <v>0.49811332818540355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99.999999999999986</v>
      </c>
      <c r="G30" s="44">
        <f t="shared" si="4"/>
        <v>100</v>
      </c>
      <c r="H30" s="44">
        <f t="shared" si="4"/>
        <v>100</v>
      </c>
      <c r="I30" s="44">
        <f t="shared" si="4"/>
        <v>100</v>
      </c>
      <c r="J30" s="44">
        <f t="shared" si="4"/>
        <v>0</v>
      </c>
      <c r="K30" s="44">
        <f t="shared" si="4"/>
        <v>100</v>
      </c>
      <c r="L30" s="44">
        <f t="shared" si="4"/>
        <v>100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0</v>
      </c>
      <c r="R30" s="44">
        <f t="shared" si="4"/>
        <v>100</v>
      </c>
      <c r="S30" s="160">
        <f>+SUM(S6:S29)</f>
        <v>9269120.7543318588</v>
      </c>
      <c r="T30" s="20">
        <f>+SUM(T6:T29)</f>
        <v>100.00000000000006</v>
      </c>
      <c r="U30" s="44">
        <f t="shared" ref="U30:Z30" si="5">SUM(U6:U29)</f>
        <v>100</v>
      </c>
      <c r="V30" s="44">
        <f t="shared" si="5"/>
        <v>0</v>
      </c>
      <c r="W30" s="44">
        <f t="shared" si="5"/>
        <v>0</v>
      </c>
      <c r="X30" s="44">
        <f t="shared" si="5"/>
        <v>0</v>
      </c>
      <c r="Y30" s="177">
        <f t="shared" si="5"/>
        <v>10358834.754331857</v>
      </c>
      <c r="Z30" s="42">
        <f t="shared" si="5"/>
        <v>100.00000000000004</v>
      </c>
    </row>
    <row r="31" spans="1:27" ht="15.75" thickBot="1" x14ac:dyDescent="0.3">
      <c r="A31" s="45" t="s">
        <v>51</v>
      </c>
      <c r="B31" s="46" t="s">
        <v>24</v>
      </c>
      <c r="C31" s="47">
        <v>36972.696081133116</v>
      </c>
      <c r="D31" s="47">
        <v>7.040689793197819</v>
      </c>
      <c r="E31" s="47">
        <v>2348.4611954644279</v>
      </c>
      <c r="F31" s="47">
        <v>320779.77244947356</v>
      </c>
      <c r="G31" s="47">
        <v>113449.29445394054</v>
      </c>
      <c r="H31" s="47">
        <v>41179.117083135854</v>
      </c>
      <c r="I31" s="47">
        <v>6712661</v>
      </c>
      <c r="J31" s="47">
        <v>0</v>
      </c>
      <c r="K31" s="47">
        <v>357030</v>
      </c>
      <c r="L31" s="47">
        <v>130307.37237891775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1554386</v>
      </c>
      <c r="S31" s="161">
        <f>SUM(C31:R31)</f>
        <v>9269120.754331857</v>
      </c>
      <c r="T31" s="48">
        <f>S31*100/$S$31</f>
        <v>100</v>
      </c>
      <c r="U31" s="47">
        <v>1089714</v>
      </c>
      <c r="V31" s="47">
        <v>0</v>
      </c>
      <c r="W31" s="47">
        <v>0</v>
      </c>
      <c r="X31" s="141">
        <v>0</v>
      </c>
      <c r="Y31" s="161">
        <f>+S31+U31+V31+W31+X31</f>
        <v>10358834.754331857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44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>
        <f>+Y32/Y31*100</f>
        <v>0</v>
      </c>
    </row>
    <row r="33" spans="1:21" x14ac:dyDescent="0.25">
      <c r="A33" s="55"/>
      <c r="S33" s="1"/>
      <c r="U33" s="64"/>
    </row>
    <row r="34" spans="1:21" x14ac:dyDescent="0.25">
      <c r="A34" s="56" t="s">
        <v>53</v>
      </c>
      <c r="B34" s="57"/>
      <c r="C34" s="57"/>
      <c r="D34" s="57"/>
      <c r="E34" s="57"/>
      <c r="F34" s="58"/>
      <c r="G34" s="10"/>
    </row>
    <row r="35" spans="1:21" x14ac:dyDescent="0.25">
      <c r="A35" s="59" t="s">
        <v>54</v>
      </c>
      <c r="B35" s="22" t="s">
        <v>112</v>
      </c>
      <c r="C35" s="22"/>
      <c r="D35" s="22"/>
      <c r="E35" s="22"/>
      <c r="F35" s="23"/>
      <c r="G35" s="10"/>
    </row>
    <row r="36" spans="1:21" x14ac:dyDescent="0.25">
      <c r="A36" s="59" t="s">
        <v>56</v>
      </c>
      <c r="B36" s="22"/>
      <c r="C36" s="22"/>
      <c r="D36" s="22"/>
      <c r="E36" s="22"/>
      <c r="F36" s="23"/>
      <c r="G36" s="10"/>
      <c r="U36" s="81"/>
    </row>
    <row r="37" spans="1:21" x14ac:dyDescent="0.25">
      <c r="A37" s="11" t="s">
        <v>57</v>
      </c>
      <c r="B37" s="38"/>
      <c r="C37" s="38"/>
      <c r="D37" s="38"/>
      <c r="E37" s="38"/>
      <c r="F37" s="41"/>
      <c r="G37" s="10"/>
    </row>
    <row r="38" spans="1:21" x14ac:dyDescent="0.25">
      <c r="A38" t="s">
        <v>58</v>
      </c>
      <c r="G38" s="10"/>
    </row>
    <row r="39" spans="1:21" ht="18.75" x14ac:dyDescent="0.3">
      <c r="A39" s="60"/>
      <c r="B39" s="61"/>
      <c r="G39" s="10"/>
    </row>
    <row r="40" spans="1:21" ht="18.75" x14ac:dyDescent="0.3">
      <c r="A40" s="60"/>
      <c r="B40" s="61"/>
    </row>
    <row r="41" spans="1:21" ht="18.75" x14ac:dyDescent="0.3">
      <c r="B41" s="61"/>
    </row>
    <row r="42" spans="1:21" x14ac:dyDescent="0.25">
      <c r="A42" s="10"/>
      <c r="C42" s="62"/>
      <c r="D42" s="62"/>
      <c r="E42" s="62"/>
    </row>
    <row r="43" spans="1:21" x14ac:dyDescent="0.25">
      <c r="A43" s="62"/>
      <c r="C43" s="63"/>
      <c r="F43" s="64"/>
      <c r="G43" s="64"/>
    </row>
    <row r="44" spans="1:21" ht="18.75" x14ac:dyDescent="0.3">
      <c r="A44" s="60"/>
      <c r="B44" s="61"/>
    </row>
    <row r="45" spans="1:21" ht="18.75" x14ac:dyDescent="0.3">
      <c r="A45" s="60"/>
      <c r="B45" s="61"/>
    </row>
    <row r="46" spans="1:21" ht="18.75" x14ac:dyDescent="0.3">
      <c r="A46" s="142"/>
      <c r="B46" s="65"/>
    </row>
    <row r="47" spans="1:21" ht="18.75" x14ac:dyDescent="0.3">
      <c r="A47" s="60"/>
      <c r="B47" s="65"/>
    </row>
  </sheetData>
  <mergeCells count="3">
    <mergeCell ref="A1:Z2"/>
    <mergeCell ref="S4:T4"/>
    <mergeCell ref="Y4:Z4"/>
  </mergeCells>
  <pageMargins left="0.27" right="0.25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5"/>
  <sheetViews>
    <sheetView zoomScale="90" zoomScaleNormal="90" workbookViewId="0">
      <selection activeCell="M4" sqref="M4"/>
    </sheetView>
  </sheetViews>
  <sheetFormatPr defaultRowHeight="15" x14ac:dyDescent="0.25"/>
  <cols>
    <col min="1" max="1" width="33.28515625" customWidth="1"/>
    <col min="2" max="2" width="7.140625" customWidth="1"/>
    <col min="3" max="3" width="6.42578125" customWidth="1"/>
    <col min="4" max="4" width="12.42578125" customWidth="1"/>
    <col min="5" max="5" width="12.85546875" customWidth="1"/>
    <col min="6" max="6" width="9.140625" customWidth="1"/>
    <col min="7" max="7" width="8.140625" bestFit="1" customWidth="1"/>
    <col min="8" max="8" width="9" customWidth="1"/>
    <col min="9" max="9" width="11" customWidth="1"/>
    <col min="10" max="10" width="10.7109375" customWidth="1"/>
    <col min="11" max="11" width="9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9.140625" customWidth="1"/>
    <col min="16" max="16" width="7" bestFit="1" customWidth="1"/>
    <col min="17" max="17" width="7.28515625" bestFit="1" customWidth="1"/>
    <col min="18" max="18" width="6.42578125" bestFit="1" customWidth="1"/>
    <col min="19" max="19" width="10.28515625" customWidth="1"/>
    <col min="20" max="20" width="7.140625" customWidth="1"/>
    <col min="21" max="21" width="10" customWidth="1"/>
    <col min="22" max="22" width="11.140625" customWidth="1"/>
    <col min="23" max="23" width="8.5703125" customWidth="1"/>
    <col min="24" max="24" width="12" customWidth="1"/>
    <col min="25" max="25" width="10.140625" customWidth="1"/>
    <col min="26" max="26" width="5.85546875" customWidth="1"/>
    <col min="27" max="27" width="1.85546875" customWidth="1"/>
  </cols>
  <sheetData>
    <row r="1" spans="1:29" ht="15" customHeight="1" x14ac:dyDescent="0.25">
      <c r="A1" s="325" t="s">
        <v>255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15</v>
      </c>
      <c r="K6" s="19">
        <v>20</v>
      </c>
      <c r="L6" s="19"/>
      <c r="M6" s="19"/>
      <c r="N6" s="19"/>
      <c r="O6" s="19">
        <v>35</v>
      </c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429300</v>
      </c>
      <c r="T6" s="21">
        <f>S6*100/$S$31</f>
        <v>16.193889098453415</v>
      </c>
      <c r="U6" s="22"/>
      <c r="V6" s="22">
        <v>5</v>
      </c>
      <c r="W6" s="22"/>
      <c r="X6" s="23"/>
      <c r="Y6" s="20">
        <f>U6/100*$U$31+V6/100*$V$31+W6/100*$W$31+X6/100*$X$31+S6</f>
        <v>508550</v>
      </c>
      <c r="Z6" s="25">
        <f t="shared" ref="Z6:Z28" si="0">Y6*100/$Y$31</f>
        <v>10.102304330552245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>S8*100/$S$31</f>
        <v>0</v>
      </c>
      <c r="U8" s="22"/>
      <c r="V8" s="22"/>
      <c r="W8" s="22"/>
      <c r="X8" s="23"/>
      <c r="Y8" s="20">
        <f t="shared" si="2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>
        <v>85</v>
      </c>
      <c r="G13" s="22"/>
      <c r="H13" s="22">
        <v>84</v>
      </c>
      <c r="I13" s="22"/>
      <c r="J13" s="22">
        <v>84</v>
      </c>
      <c r="K13" s="22">
        <v>80</v>
      </c>
      <c r="L13" s="22"/>
      <c r="M13" s="22"/>
      <c r="N13" s="22"/>
      <c r="O13" s="22">
        <v>55</v>
      </c>
      <c r="P13" s="22"/>
      <c r="Q13" s="22"/>
      <c r="R13" s="22"/>
      <c r="S13" s="20">
        <f t="shared" si="1"/>
        <v>2172160</v>
      </c>
      <c r="T13" s="21">
        <f t="shared" si="3"/>
        <v>81.937382119954734</v>
      </c>
      <c r="U13" s="22"/>
      <c r="V13" s="22">
        <v>94</v>
      </c>
      <c r="W13" s="22"/>
      <c r="X13" s="23"/>
      <c r="Y13" s="20">
        <f t="shared" si="2"/>
        <v>3662060</v>
      </c>
      <c r="Z13" s="25">
        <f t="shared" si="0"/>
        <v>72.746523639253084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>
        <v>100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29000</v>
      </c>
      <c r="T15" s="21">
        <f t="shared" si="3"/>
        <v>1.0939268200678989</v>
      </c>
      <c r="U15" s="22"/>
      <c r="V15" s="33"/>
      <c r="W15" s="22"/>
      <c r="X15" s="23"/>
      <c r="Y15" s="20">
        <f t="shared" si="2"/>
        <v>29000</v>
      </c>
      <c r="Z15" s="25">
        <f t="shared" si="0"/>
        <v>0.57608263806118398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0</v>
      </c>
      <c r="T16" s="21">
        <f t="shared" si="3"/>
        <v>0</v>
      </c>
      <c r="U16" s="22"/>
      <c r="V16" s="33"/>
      <c r="W16" s="22"/>
      <c r="X16" s="23"/>
      <c r="Y16" s="20">
        <f t="shared" si="2"/>
        <v>0</v>
      </c>
      <c r="Z16" s="25">
        <f t="shared" si="0"/>
        <v>0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>
        <v>1</v>
      </c>
      <c r="I17" s="22"/>
      <c r="J17" s="22">
        <v>1</v>
      </c>
      <c r="K17" s="22"/>
      <c r="L17" s="22"/>
      <c r="M17" s="22"/>
      <c r="N17" s="22"/>
      <c r="O17" s="22">
        <v>10</v>
      </c>
      <c r="P17" s="22"/>
      <c r="Q17" s="22"/>
      <c r="R17" s="22"/>
      <c r="S17" s="20">
        <f t="shared" si="1"/>
        <v>20540</v>
      </c>
      <c r="T17" s="21">
        <f t="shared" si="3"/>
        <v>0.7748019615239532</v>
      </c>
      <c r="U17" s="33"/>
      <c r="V17" s="22">
        <v>1</v>
      </c>
      <c r="W17" s="22"/>
      <c r="X17" s="23"/>
      <c r="Y17" s="20">
        <f t="shared" si="2"/>
        <v>36390</v>
      </c>
      <c r="Z17" s="25">
        <f t="shared" si="0"/>
        <v>0.72288438617401674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60</v>
      </c>
      <c r="V19" s="22"/>
      <c r="W19" s="22"/>
      <c r="X19" s="23"/>
      <c r="Y19" s="20">
        <f t="shared" si="2"/>
        <v>478800</v>
      </c>
      <c r="Z19" s="25">
        <f t="shared" si="0"/>
        <v>9.5113230035756846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17</v>
      </c>
      <c r="V20" s="22"/>
      <c r="W20" s="22"/>
      <c r="X20" s="23"/>
      <c r="Y20" s="20">
        <f t="shared" si="2"/>
        <v>135660</v>
      </c>
      <c r="Z20" s="25">
        <f t="shared" si="0"/>
        <v>2.6948748510131106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7</v>
      </c>
      <c r="V22" s="22"/>
      <c r="W22" s="22"/>
      <c r="X22" s="23"/>
      <c r="Y22" s="20">
        <f t="shared" si="2"/>
        <v>55860.000000000007</v>
      </c>
      <c r="Z22" s="25">
        <f t="shared" si="0"/>
        <v>1.1096543504171634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</v>
      </c>
      <c r="V23" s="22"/>
      <c r="W23" s="22"/>
      <c r="X23" s="23"/>
      <c r="Y23" s="20">
        <f t="shared" si="2"/>
        <v>7980</v>
      </c>
      <c r="Z23" s="25">
        <f t="shared" si="0"/>
        <v>0.15852205005959474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3</v>
      </c>
      <c r="V24" s="22"/>
      <c r="W24" s="22"/>
      <c r="X24" s="23"/>
      <c r="Y24" s="20">
        <f t="shared" si="2"/>
        <v>23940</v>
      </c>
      <c r="Z24" s="25">
        <f t="shared" si="0"/>
        <v>0.47556615017878429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3</v>
      </c>
      <c r="V25" s="22"/>
      <c r="W25" s="22"/>
      <c r="X25" s="23"/>
      <c r="Y25" s="20">
        <f t="shared" si="2"/>
        <v>23940</v>
      </c>
      <c r="Z25" s="25">
        <f t="shared" si="0"/>
        <v>0.47556615017878429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6</v>
      </c>
      <c r="V27" s="22"/>
      <c r="W27" s="22"/>
      <c r="X27" s="23"/>
      <c r="Y27" s="20">
        <f t="shared" si="2"/>
        <v>47880</v>
      </c>
      <c r="Z27" s="25">
        <f t="shared" si="0"/>
        <v>0.95113230035756857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2</v>
      </c>
      <c r="V28" s="22"/>
      <c r="W28" s="22"/>
      <c r="X28" s="23"/>
      <c r="Y28" s="20">
        <f t="shared" si="2"/>
        <v>15960</v>
      </c>
      <c r="Z28" s="25">
        <f t="shared" si="0"/>
        <v>0.31704410011918949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299">
        <v>1</v>
      </c>
      <c r="V29" s="38"/>
      <c r="W29" s="38"/>
      <c r="X29" s="41"/>
      <c r="Y29" s="39">
        <f t="shared" si="2"/>
        <v>7980</v>
      </c>
      <c r="Z29" s="42">
        <f>Y29*100/$Y$31</f>
        <v>0.15852205005959474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0</v>
      </c>
      <c r="D30" s="44">
        <f t="shared" si="5"/>
        <v>0</v>
      </c>
      <c r="E30" s="44">
        <f t="shared" si="5"/>
        <v>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100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100</v>
      </c>
      <c r="P30" s="44">
        <f t="shared" si="5"/>
        <v>0</v>
      </c>
      <c r="Q30" s="44">
        <f t="shared" si="5"/>
        <v>0</v>
      </c>
      <c r="R30" s="44">
        <f t="shared" si="5"/>
        <v>0</v>
      </c>
      <c r="S30" s="20">
        <f>+SUM(S6:S29)</f>
        <v>2651000</v>
      </c>
      <c r="T30" s="20">
        <f>+SUM(T6:T29)</f>
        <v>99.999999999999986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5034000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0</v>
      </c>
      <c r="F31" s="47">
        <v>95000</v>
      </c>
      <c r="G31" s="47">
        <v>29000</v>
      </c>
      <c r="H31" s="47">
        <v>325000</v>
      </c>
      <c r="I31" s="47">
        <v>0</v>
      </c>
      <c r="J31" s="47">
        <v>1539000</v>
      </c>
      <c r="K31" s="47">
        <v>644000</v>
      </c>
      <c r="L31" s="47">
        <v>0</v>
      </c>
      <c r="M31" s="47">
        <v>0</v>
      </c>
      <c r="N31" s="47">
        <v>0</v>
      </c>
      <c r="O31" s="47">
        <v>19000</v>
      </c>
      <c r="P31" s="47">
        <v>0</v>
      </c>
      <c r="Q31" s="47">
        <v>0</v>
      </c>
      <c r="R31" s="47">
        <v>0</v>
      </c>
      <c r="S31" s="48">
        <f>SUM(C31:R31)</f>
        <v>2651000</v>
      </c>
      <c r="T31" s="48">
        <f>S31*100/$S$31</f>
        <v>100</v>
      </c>
      <c r="U31" s="47">
        <v>798000</v>
      </c>
      <c r="V31" s="47">
        <v>1585000</v>
      </c>
      <c r="W31" s="47">
        <v>0</v>
      </c>
      <c r="X31" s="141">
        <v>0</v>
      </c>
      <c r="Y31" s="48">
        <f>+S31+U31+V31+W31+X31</f>
        <v>5034000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 t="s">
        <v>256</v>
      </c>
      <c r="C35" s="22"/>
      <c r="D35" s="22"/>
      <c r="E35" s="22"/>
      <c r="F35" s="22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</row>
    <row r="39" spans="1:19" ht="18.75" x14ac:dyDescent="0.3">
      <c r="A39" s="60"/>
      <c r="B39" s="61"/>
    </row>
    <row r="40" spans="1:19" x14ac:dyDescent="0.25">
      <c r="B40" s="65"/>
    </row>
    <row r="41" spans="1:19" ht="18.75" x14ac:dyDescent="0.3">
      <c r="A41" s="60"/>
      <c r="B41" s="65"/>
    </row>
    <row r="44" spans="1:19" ht="18.75" x14ac:dyDescent="0.3">
      <c r="A44" s="60"/>
      <c r="B44" s="61"/>
    </row>
    <row r="45" spans="1:19" ht="18.75" x14ac:dyDescent="0.3">
      <c r="A45" s="142"/>
      <c r="B45" s="65"/>
      <c r="C45" s="99"/>
      <c r="D45" s="99"/>
    </row>
    <row r="46" spans="1:19" ht="18.75" x14ac:dyDescent="0.3">
      <c r="A46" s="60"/>
      <c r="B46" s="65"/>
    </row>
    <row r="49" spans="3:24" x14ac:dyDescent="0.25"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</row>
    <row r="51" spans="3:24" x14ac:dyDescent="0.25"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</row>
    <row r="53" spans="3:24" x14ac:dyDescent="0.25"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</row>
    <row r="55" spans="3:24" x14ac:dyDescent="0.25">
      <c r="H55" s="99"/>
    </row>
  </sheetData>
  <mergeCells count="3">
    <mergeCell ref="A1:Z2"/>
    <mergeCell ref="S4:T4"/>
    <mergeCell ref="Y4:Z4"/>
  </mergeCells>
  <pageMargins left="0.26" right="0.23622047244094491" top="0.74803149606299213" bottom="0.74803149606299213" header="0.31496062992125984" footer="0.31496062992125984"/>
  <pageSetup paperSize="9" scale="5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C47"/>
  <sheetViews>
    <sheetView zoomScale="90" zoomScaleNormal="90" workbookViewId="0">
      <selection activeCell="T30" sqref="T30"/>
    </sheetView>
  </sheetViews>
  <sheetFormatPr defaultRowHeight="15" x14ac:dyDescent="0.25"/>
  <cols>
    <col min="1" max="1" width="34.42578125" customWidth="1"/>
    <col min="2" max="2" width="7.28515625" customWidth="1"/>
    <col min="3" max="3" width="7" customWidth="1"/>
    <col min="4" max="4" width="12.5703125" customWidth="1"/>
    <col min="5" max="5" width="13.5703125" customWidth="1"/>
    <col min="6" max="6" width="8.7109375" customWidth="1"/>
    <col min="7" max="7" width="6.5703125" bestFit="1" customWidth="1"/>
    <col min="8" max="8" width="8.28515625" bestFit="1" customWidth="1"/>
    <col min="9" max="9" width="10.5703125" customWidth="1"/>
    <col min="10" max="10" width="10.7109375" customWidth="1"/>
    <col min="11" max="12" width="8.140625" bestFit="1" customWidth="1"/>
    <col min="13" max="13" width="5.7109375" bestFit="1" customWidth="1"/>
    <col min="14" max="14" width="7.85546875" bestFit="1" customWidth="1"/>
    <col min="15" max="15" width="9.42578125" customWidth="1"/>
    <col min="16" max="16" width="7" bestFit="1" customWidth="1"/>
    <col min="17" max="17" width="7.28515625" bestFit="1" customWidth="1"/>
    <col min="18" max="18" width="6.42578125" bestFit="1" customWidth="1"/>
    <col min="19" max="19" width="10.85546875" customWidth="1"/>
    <col min="20" max="20" width="8.5703125" customWidth="1"/>
    <col min="21" max="21" width="10.140625" customWidth="1"/>
    <col min="22" max="22" width="11" customWidth="1"/>
    <col min="23" max="23" width="8.85546875" customWidth="1"/>
    <col min="24" max="24" width="13" customWidth="1"/>
    <col min="25" max="25" width="10.140625" customWidth="1"/>
    <col min="26" max="26" width="6.5703125" customWidth="1"/>
    <col min="27" max="27" width="1.85546875" customWidth="1"/>
  </cols>
  <sheetData>
    <row r="1" spans="1:29" ht="15" customHeight="1" x14ac:dyDescent="0.25">
      <c r="A1" s="325" t="s">
        <v>248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5" t="s">
        <v>3</v>
      </c>
      <c r="E4" s="5" t="s">
        <v>79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0</v>
      </c>
      <c r="T6" s="21">
        <f>S6*100/$S$31</f>
        <v>0</v>
      </c>
      <c r="U6" s="22"/>
      <c r="V6" s="22"/>
      <c r="W6" s="22"/>
      <c r="X6" s="23"/>
      <c r="Y6" s="20">
        <f>U6/100*$U$31+V6/100*$V$31+W6/100*$W$31+X6/100*$X$31+S6</f>
        <v>0</v>
      </c>
      <c r="Z6" s="25">
        <f t="shared" ref="Z6:Z28" si="0">Y6*100/$Y$31</f>
        <v>0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>
        <v>29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339927.26999999996</v>
      </c>
      <c r="T8" s="21">
        <f>S8*100/$S$31</f>
        <v>25.710870083162199</v>
      </c>
      <c r="U8" s="22"/>
      <c r="V8" s="22"/>
      <c r="W8" s="22"/>
      <c r="X8" s="23"/>
      <c r="Y8" s="20">
        <f t="shared" si="2"/>
        <v>339927.26999999996</v>
      </c>
      <c r="Z8" s="25">
        <f t="shared" si="0"/>
        <v>23.542952225284996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>
        <v>67</v>
      </c>
      <c r="K11" s="22">
        <v>100</v>
      </c>
      <c r="L11" s="22">
        <v>100</v>
      </c>
      <c r="M11" s="22"/>
      <c r="N11" s="22"/>
      <c r="O11" s="22">
        <v>100</v>
      </c>
      <c r="P11" s="22"/>
      <c r="Q11" s="22"/>
      <c r="R11" s="22"/>
      <c r="S11" s="20">
        <f t="shared" si="1"/>
        <v>935301.21000000008</v>
      </c>
      <c r="T11" s="21">
        <f t="shared" si="3"/>
        <v>70.742803008815429</v>
      </c>
      <c r="U11" s="22"/>
      <c r="V11" s="22"/>
      <c r="W11" s="22"/>
      <c r="X11" s="23"/>
      <c r="Y11" s="20">
        <f t="shared" si="2"/>
        <v>935301.21000000008</v>
      </c>
      <c r="Z11" s="25">
        <f t="shared" si="0"/>
        <v>64.777832338315363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>
        <v>3</v>
      </c>
      <c r="K13" s="22"/>
      <c r="L13" s="22"/>
      <c r="M13" s="22"/>
      <c r="N13" s="22"/>
      <c r="O13" s="22"/>
      <c r="P13" s="22"/>
      <c r="Q13" s="22"/>
      <c r="R13" s="22"/>
      <c r="S13" s="20">
        <f t="shared" si="1"/>
        <v>35164.89</v>
      </c>
      <c r="T13" s="21">
        <f t="shared" si="3"/>
        <v>2.6597451810167798</v>
      </c>
      <c r="U13" s="22"/>
      <c r="V13" s="22"/>
      <c r="W13" s="22"/>
      <c r="X13" s="23"/>
      <c r="Y13" s="20">
        <f t="shared" si="2"/>
        <v>35164.89</v>
      </c>
      <c r="Z13" s="25">
        <f t="shared" si="0"/>
        <v>2.4354778164087931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3"/>
        <v>0</v>
      </c>
      <c r="U15" s="22"/>
      <c r="V15" s="33"/>
      <c r="W15" s="22"/>
      <c r="X15" s="23"/>
      <c r="Y15" s="20">
        <f t="shared" si="2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0</v>
      </c>
      <c r="T16" s="21">
        <f t="shared" si="3"/>
        <v>0</v>
      </c>
      <c r="U16" s="22"/>
      <c r="V16" s="33"/>
      <c r="W16" s="22"/>
      <c r="X16" s="23"/>
      <c r="Y16" s="20">
        <f t="shared" si="2"/>
        <v>0</v>
      </c>
      <c r="Z16" s="25">
        <f t="shared" si="0"/>
        <v>0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/>
      <c r="G17" s="22"/>
      <c r="H17" s="22"/>
      <c r="I17" s="22"/>
      <c r="J17" s="22">
        <v>1</v>
      </c>
      <c r="K17" s="22"/>
      <c r="L17" s="22"/>
      <c r="M17" s="22"/>
      <c r="N17" s="22"/>
      <c r="O17" s="22"/>
      <c r="P17" s="22"/>
      <c r="Q17" s="22"/>
      <c r="R17" s="22"/>
      <c r="S17" s="20">
        <f t="shared" si="1"/>
        <v>11721.630000000001</v>
      </c>
      <c r="T17" s="21">
        <f t="shared" si="3"/>
        <v>0.88658172700559335</v>
      </c>
      <c r="U17" s="33"/>
      <c r="V17" s="22"/>
      <c r="W17" s="22"/>
      <c r="X17" s="23"/>
      <c r="Y17" s="20">
        <f t="shared" si="2"/>
        <v>11721.630000000001</v>
      </c>
      <c r="Z17" s="25">
        <f t="shared" si="0"/>
        <v>0.81182593880293108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2</v>
      </c>
      <c r="V19" s="22"/>
      <c r="W19" s="22"/>
      <c r="X19" s="23"/>
      <c r="Y19" s="20">
        <f t="shared" si="2"/>
        <v>2434.9</v>
      </c>
      <c r="Z19" s="25">
        <f t="shared" si="0"/>
        <v>0.16863823362375854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/>
      <c r="V20" s="22"/>
      <c r="W20" s="22"/>
      <c r="X20" s="23"/>
      <c r="Y20" s="20">
        <f t="shared" si="2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/>
      <c r="V23" s="22"/>
      <c r="W23" s="22"/>
      <c r="X23" s="23"/>
      <c r="Y23" s="20">
        <f t="shared" si="2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63</v>
      </c>
      <c r="V24" s="22"/>
      <c r="W24" s="22"/>
      <c r="X24" s="23"/>
      <c r="Y24" s="20">
        <f t="shared" si="2"/>
        <v>76699.350000000006</v>
      </c>
      <c r="Z24" s="25">
        <f t="shared" si="0"/>
        <v>5.3121043591483943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4</v>
      </c>
      <c r="V25" s="22"/>
      <c r="W25" s="22"/>
      <c r="X25" s="23"/>
      <c r="Y25" s="20">
        <f t="shared" si="2"/>
        <v>4869.8</v>
      </c>
      <c r="Z25" s="25">
        <f t="shared" si="0"/>
        <v>0.33727646724751709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31</v>
      </c>
      <c r="V27" s="22"/>
      <c r="W27" s="22"/>
      <c r="X27" s="23"/>
      <c r="Y27" s="20">
        <f t="shared" si="2"/>
        <v>37740.949999999997</v>
      </c>
      <c r="Z27" s="25">
        <f t="shared" si="0"/>
        <v>2.6138926211682572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/>
      <c r="V28" s="22"/>
      <c r="W28" s="22"/>
      <c r="X28" s="23"/>
      <c r="Y28" s="20">
        <f t="shared" si="2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0</v>
      </c>
      <c r="D30" s="44">
        <f t="shared" si="5"/>
        <v>0</v>
      </c>
      <c r="E30" s="44">
        <f t="shared" si="5"/>
        <v>0</v>
      </c>
      <c r="F30" s="44">
        <f t="shared" si="5"/>
        <v>0</v>
      </c>
      <c r="G30" s="44">
        <f t="shared" si="5"/>
        <v>0</v>
      </c>
      <c r="H30" s="44">
        <f t="shared" si="5"/>
        <v>0</v>
      </c>
      <c r="I30" s="44">
        <f t="shared" si="5"/>
        <v>0</v>
      </c>
      <c r="J30" s="44">
        <f t="shared" si="5"/>
        <v>100</v>
      </c>
      <c r="K30" s="44">
        <f t="shared" si="5"/>
        <v>100</v>
      </c>
      <c r="L30" s="44">
        <f t="shared" si="5"/>
        <v>100</v>
      </c>
      <c r="M30" s="44">
        <f t="shared" si="5"/>
        <v>0</v>
      </c>
      <c r="N30" s="44">
        <f t="shared" si="5"/>
        <v>0</v>
      </c>
      <c r="O30" s="44">
        <f t="shared" si="5"/>
        <v>100</v>
      </c>
      <c r="P30" s="44">
        <f t="shared" si="5"/>
        <v>0</v>
      </c>
      <c r="Q30" s="44">
        <f t="shared" si="5"/>
        <v>0</v>
      </c>
      <c r="R30" s="44">
        <f t="shared" si="5"/>
        <v>0</v>
      </c>
      <c r="S30" s="20">
        <f>+SUM(S6:S29)</f>
        <v>1322114.9999999998</v>
      </c>
      <c r="T30" s="20">
        <f>+SUM(T6:T29)</f>
        <v>100</v>
      </c>
      <c r="U30" s="44">
        <f>SUM(U6:U29)</f>
        <v>100</v>
      </c>
      <c r="V30" s="44">
        <f t="shared" ref="V30" si="6">SUM(V6:V29)</f>
        <v>0</v>
      </c>
      <c r="W30" s="44">
        <f>SUM(W6:W29)</f>
        <v>0</v>
      </c>
      <c r="X30" s="44">
        <f>SUM(X6:X29)</f>
        <v>0</v>
      </c>
      <c r="Y30" s="39">
        <f>SUM(Y6:Y29)</f>
        <v>1443859.9999999998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1172163</v>
      </c>
      <c r="K31" s="47">
        <v>32250</v>
      </c>
      <c r="L31" s="47">
        <v>11771</v>
      </c>
      <c r="M31" s="47">
        <v>0</v>
      </c>
      <c r="N31" s="47">
        <v>0</v>
      </c>
      <c r="O31" s="47">
        <v>105931</v>
      </c>
      <c r="P31" s="47">
        <v>0</v>
      </c>
      <c r="Q31" s="47">
        <v>0</v>
      </c>
      <c r="R31" s="47">
        <v>0</v>
      </c>
      <c r="S31" s="48">
        <f>SUM(C31:R31)</f>
        <v>1322115</v>
      </c>
      <c r="T31" s="48">
        <f>S31*100/$S$31</f>
        <v>100</v>
      </c>
      <c r="U31" s="47">
        <v>121745</v>
      </c>
      <c r="V31" s="47">
        <v>0</v>
      </c>
      <c r="W31" s="47">
        <v>0</v>
      </c>
      <c r="X31" s="141">
        <v>0</v>
      </c>
      <c r="Y31" s="48">
        <f>+S31+U31+V31+W31+X31</f>
        <v>1443860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 t="s">
        <v>249</v>
      </c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x14ac:dyDescent="0.25">
      <c r="A40" s="194"/>
      <c r="B40" s="194"/>
      <c r="C40" s="196"/>
      <c r="D40" s="196"/>
      <c r="E40" s="196"/>
      <c r="F40" s="196"/>
      <c r="G40" s="289"/>
      <c r="H40" s="196"/>
      <c r="I40" s="196"/>
      <c r="J40" s="196"/>
      <c r="K40" s="196"/>
      <c r="L40" s="196"/>
      <c r="M40" s="196"/>
      <c r="N40" s="196"/>
      <c r="O40" s="196"/>
      <c r="P40" s="196"/>
    </row>
    <row r="41" spans="1:19" ht="18.75" x14ac:dyDescent="0.3">
      <c r="B41" s="61"/>
      <c r="G41" s="10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</sheetData>
  <mergeCells count="3">
    <mergeCell ref="A1:Z2"/>
    <mergeCell ref="S4:T4"/>
    <mergeCell ref="Y4:Z4"/>
  </mergeCells>
  <pageMargins left="0.26" right="0.31" top="0.74803149606299213" bottom="0.74803149606299213" header="0.31496062992125984" footer="0.31496062992125984"/>
  <pageSetup paperSize="9" scale="5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C67"/>
  <sheetViews>
    <sheetView zoomScale="90" zoomScaleNormal="90" workbookViewId="0">
      <selection activeCell="S36" sqref="S36"/>
    </sheetView>
  </sheetViews>
  <sheetFormatPr defaultRowHeight="15" x14ac:dyDescent="0.25"/>
  <cols>
    <col min="1" max="1" width="33.85546875" customWidth="1"/>
    <col min="2" max="2" width="6.140625" customWidth="1"/>
    <col min="3" max="3" width="8.42578125" customWidth="1"/>
    <col min="4" max="4" width="13.28515625" customWidth="1"/>
    <col min="5" max="5" width="12.5703125" customWidth="1"/>
    <col min="6" max="6" width="9.85546875" customWidth="1"/>
    <col min="7" max="7" width="9.140625" bestFit="1" customWidth="1"/>
    <col min="8" max="8" width="8.28515625" bestFit="1" customWidth="1"/>
    <col min="9" max="9" width="11" customWidth="1"/>
    <col min="10" max="10" width="9.140625" bestFit="1" customWidth="1"/>
    <col min="11" max="11" width="7.140625" customWidth="1"/>
    <col min="12" max="12" width="7.28515625" customWidth="1"/>
    <col min="13" max="13" width="5.7109375" bestFit="1" customWidth="1"/>
    <col min="14" max="14" width="7.85546875" bestFit="1" customWidth="1"/>
    <col min="15" max="15" width="9.28515625" customWidth="1"/>
    <col min="16" max="16" width="7" bestFit="1" customWidth="1"/>
    <col min="17" max="17" width="8.140625" bestFit="1" customWidth="1"/>
    <col min="18" max="18" width="6.42578125" bestFit="1" customWidth="1"/>
    <col min="19" max="19" width="9.85546875" bestFit="1" customWidth="1"/>
    <col min="20" max="20" width="7.42578125" customWidth="1"/>
    <col min="21" max="21" width="9.140625" bestFit="1" customWidth="1"/>
    <col min="22" max="22" width="11.140625" bestFit="1" customWidth="1"/>
    <col min="23" max="23" width="9.28515625" bestFit="1" customWidth="1"/>
    <col min="24" max="24" width="14" bestFit="1" customWidth="1"/>
    <col min="25" max="25" width="10.42578125" customWidth="1"/>
    <col min="26" max="26" width="7.28515625" customWidth="1"/>
    <col min="27" max="27" width="1.85546875" customWidth="1"/>
  </cols>
  <sheetData>
    <row r="1" spans="1:29" ht="15" customHeight="1" x14ac:dyDescent="0.25">
      <c r="A1" s="325" t="s">
        <v>113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</v>
      </c>
      <c r="G6" s="19"/>
      <c r="H6" s="19">
        <v>1</v>
      </c>
      <c r="I6" s="19"/>
      <c r="J6" s="19">
        <v>1</v>
      </c>
      <c r="K6" s="19"/>
      <c r="L6" s="19"/>
      <c r="M6" s="19"/>
      <c r="N6" s="19"/>
      <c r="O6" s="19"/>
      <c r="P6" s="19"/>
      <c r="Q6" s="19">
        <v>1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13604.378528452864</v>
      </c>
      <c r="T6" s="140">
        <f>S6*100/$S$31</f>
        <v>0.87888168560905233</v>
      </c>
      <c r="U6" s="22"/>
      <c r="V6" s="22"/>
      <c r="W6" s="22"/>
      <c r="X6" s="23"/>
      <c r="Y6" s="20">
        <f>U6/100*$U$31+V6/100*$V$31+W6/100*$W$31+X6/100*$X$31+S6</f>
        <v>13604.378528452864</v>
      </c>
      <c r="Z6" s="25">
        <f t="shared" ref="Z6:Z28" si="0">Y6*100/$Y$31</f>
        <v>0.7966810626013896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95</v>
      </c>
      <c r="G7" s="22"/>
      <c r="H7" s="134">
        <v>97.651962282325158</v>
      </c>
      <c r="I7" s="22"/>
      <c r="J7" s="134">
        <v>97.651962282325158</v>
      </c>
      <c r="K7" s="22"/>
      <c r="L7" s="22"/>
      <c r="M7" s="22"/>
      <c r="N7" s="22"/>
      <c r="O7" s="22"/>
      <c r="P7" s="22"/>
      <c r="Q7" s="22">
        <v>95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1317328.7318926081</v>
      </c>
      <c r="T7" s="21">
        <f t="shared" ref="T7:T29" si="2">S7*100/$S$31</f>
        <v>85.103196295632401</v>
      </c>
      <c r="U7" s="22">
        <v>10</v>
      </c>
      <c r="V7" s="22"/>
      <c r="W7" s="22"/>
      <c r="X7" s="23"/>
      <c r="Y7" s="20">
        <f t="shared" ref="Y7:Y29" si="3">U7/100*$U$31+V7/100*$V$31+W7/100*$W$31+X7/100*$X$31+S7</f>
        <v>1329698.131892608</v>
      </c>
      <c r="Z7" s="25">
        <f t="shared" si="0"/>
        <v>77.867968642574795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45379.796981483421</v>
      </c>
      <c r="T15" s="21">
        <f t="shared" si="2"/>
        <v>2.9316644182068647</v>
      </c>
      <c r="U15" s="22"/>
      <c r="V15" s="33"/>
      <c r="W15" s="22"/>
      <c r="X15" s="23"/>
      <c r="Y15" s="20">
        <f t="shared" si="3"/>
        <v>45379.796981483421</v>
      </c>
      <c r="Z15" s="25">
        <f t="shared" si="0"/>
        <v>2.6574697847631121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142101.56970108126</v>
      </c>
      <c r="T16" s="21">
        <f t="shared" si="2"/>
        <v>9.1801670208879056</v>
      </c>
      <c r="U16" s="22"/>
      <c r="V16" s="33"/>
      <c r="W16" s="22"/>
      <c r="X16" s="23"/>
      <c r="Y16" s="20">
        <f t="shared" si="3"/>
        <v>142101.56970108126</v>
      </c>
      <c r="Z16" s="25">
        <f t="shared" si="0"/>
        <v>8.3215583357968654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4</v>
      </c>
      <c r="G17" s="22"/>
      <c r="H17" s="134">
        <v>1.3480377176748419</v>
      </c>
      <c r="I17" s="22"/>
      <c r="J17" s="134">
        <v>1.3480377176748419</v>
      </c>
      <c r="K17" s="22"/>
      <c r="L17" s="22"/>
      <c r="M17" s="22"/>
      <c r="N17" s="22"/>
      <c r="O17" s="22"/>
      <c r="P17" s="22"/>
      <c r="Q17" s="22">
        <v>4</v>
      </c>
      <c r="R17" s="22"/>
      <c r="S17" s="20">
        <f t="shared" si="1"/>
        <v>29504.742424225515</v>
      </c>
      <c r="T17" s="21">
        <f t="shared" si="2"/>
        <v>1.9060905796637824</v>
      </c>
      <c r="U17" s="33">
        <v>1</v>
      </c>
      <c r="V17" s="22">
        <v>100</v>
      </c>
      <c r="W17" s="22"/>
      <c r="X17" s="23">
        <v>100</v>
      </c>
      <c r="Y17" s="20">
        <f t="shared" si="3"/>
        <v>66760.182424225524</v>
      </c>
      <c r="Z17" s="25">
        <f t="shared" si="0"/>
        <v>3.9095187598579089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3.4188374291480383</v>
      </c>
      <c r="V18" s="22"/>
      <c r="W18" s="22"/>
      <c r="X18" s="23"/>
      <c r="Y18" s="20">
        <f t="shared" si="3"/>
        <v>4228.8967696103746</v>
      </c>
      <c r="Z18" s="25">
        <f t="shared" si="0"/>
        <v>0.24764688552281264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4</v>
      </c>
      <c r="V19" s="22"/>
      <c r="W19" s="22"/>
      <c r="X19" s="23"/>
      <c r="Y19" s="20">
        <f t="shared" si="3"/>
        <v>4947.76</v>
      </c>
      <c r="Z19" s="25">
        <f t="shared" si="0"/>
        <v>0.28974397368116489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1</v>
      </c>
      <c r="V20" s="22"/>
      <c r="W20" s="22"/>
      <c r="X20" s="23"/>
      <c r="Y20" s="20">
        <f t="shared" si="3"/>
        <v>1236.94</v>
      </c>
      <c r="Z20" s="25">
        <f t="shared" si="0"/>
        <v>7.2435993420291223E-2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2</v>
      </c>
      <c r="V23" s="22"/>
      <c r="W23" s="22"/>
      <c r="X23" s="23"/>
      <c r="Y23" s="20">
        <f t="shared" si="3"/>
        <v>2473.88</v>
      </c>
      <c r="Z23" s="25">
        <f t="shared" si="0"/>
        <v>0.14487198684058245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10</v>
      </c>
      <c r="V24" s="22"/>
      <c r="W24" s="22"/>
      <c r="X24" s="23"/>
      <c r="Y24" s="20">
        <f t="shared" si="3"/>
        <v>12369.400000000001</v>
      </c>
      <c r="Z24" s="25">
        <f t="shared" si="0"/>
        <v>0.72435993420291234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2</v>
      </c>
      <c r="V25" s="22"/>
      <c r="W25" s="22"/>
      <c r="X25" s="23"/>
      <c r="Y25" s="20">
        <f t="shared" si="3"/>
        <v>2473.88</v>
      </c>
      <c r="Z25" s="25">
        <f t="shared" si="0"/>
        <v>0.14487198684058245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>
        <v>2</v>
      </c>
      <c r="V26" s="22"/>
      <c r="W26" s="22"/>
      <c r="X26" s="23"/>
      <c r="Y26" s="20">
        <f t="shared" si="3"/>
        <v>2473.88</v>
      </c>
      <c r="Z26" s="25">
        <f t="shared" si="0"/>
        <v>0.14487198684058245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62.581162570851959</v>
      </c>
      <c r="V27" s="22"/>
      <c r="W27" s="22"/>
      <c r="X27" s="23"/>
      <c r="Y27" s="20">
        <f t="shared" si="3"/>
        <v>77409.143230389614</v>
      </c>
      <c r="Z27" s="25">
        <f t="shared" si="0"/>
        <v>4.5331286802164072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2</v>
      </c>
      <c r="V28" s="22"/>
      <c r="W28" s="22"/>
      <c r="X28" s="23"/>
      <c r="Y28" s="20">
        <f t="shared" si="3"/>
        <v>2473.88</v>
      </c>
      <c r="Z28" s="25">
        <f t="shared" si="0"/>
        <v>0.14487198684058245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1547919.2195278513</v>
      </c>
      <c r="T30" s="20">
        <f>+SUM(T6:T29)</f>
        <v>100.00000000000001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100</v>
      </c>
      <c r="Y30" s="39">
        <f>SUM(Y6:Y29)</f>
        <v>1707631.7195278509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45371.156977488688</v>
      </c>
      <c r="D31" s="47">
        <v>8.6400039947314138</v>
      </c>
      <c r="E31" s="47">
        <v>2881.9213324648563</v>
      </c>
      <c r="F31" s="47">
        <v>393645.87800333661</v>
      </c>
      <c r="G31" s="47">
        <v>139219.64836861641</v>
      </c>
      <c r="H31" s="47">
        <v>50533.079364118785</v>
      </c>
      <c r="I31" s="47">
        <v>0</v>
      </c>
      <c r="J31" s="47">
        <v>888875.89547783101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27383</v>
      </c>
      <c r="R31" s="47">
        <v>0</v>
      </c>
      <c r="S31" s="48">
        <f>SUM(C31:R31)</f>
        <v>1547919.2195278511</v>
      </c>
      <c r="T31" s="48">
        <f>S31*100/$S$31</f>
        <v>100</v>
      </c>
      <c r="U31" s="47">
        <v>123694</v>
      </c>
      <c r="V31" s="47">
        <v>19103</v>
      </c>
      <c r="W31" s="47">
        <v>0</v>
      </c>
      <c r="X31" s="141">
        <v>16915.5</v>
      </c>
      <c r="Y31" s="48">
        <f>+S31+U31+V31+W31+X31</f>
        <v>1707631.7195278511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  <row r="67" spans="24:24" x14ac:dyDescent="0.25">
      <c r="X67" s="81">
        <f>+X31/4/U31</f>
        <v>3.4188198295794461E-2</v>
      </c>
    </row>
  </sheetData>
  <mergeCells count="3">
    <mergeCell ref="A1:Z2"/>
    <mergeCell ref="S4:T4"/>
    <mergeCell ref="Y4:Z4"/>
  </mergeCells>
  <pageMargins left="0.26" right="0.24" top="0.74803149606299213" bottom="0.74803149606299213" header="0.31496062992125984" footer="0.31496062992125984"/>
  <pageSetup paperSize="9" scale="5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C47"/>
  <sheetViews>
    <sheetView zoomScale="90" zoomScaleNormal="90" workbookViewId="0">
      <selection activeCell="T30" sqref="T30"/>
    </sheetView>
  </sheetViews>
  <sheetFormatPr defaultRowHeight="15" x14ac:dyDescent="0.25"/>
  <cols>
    <col min="1" max="1" width="35" customWidth="1"/>
    <col min="2" max="2" width="8" customWidth="1"/>
    <col min="3" max="3" width="7" bestFit="1" customWidth="1"/>
    <col min="4" max="4" width="12.5703125" customWidth="1"/>
    <col min="5" max="5" width="12.7109375" customWidth="1"/>
    <col min="6" max="6" width="9.85546875" customWidth="1"/>
    <col min="7" max="7" width="7" bestFit="1" customWidth="1"/>
    <col min="8" max="8" width="8.28515625" bestFit="1" customWidth="1"/>
    <col min="9" max="9" width="10.7109375" customWidth="1"/>
    <col min="10" max="10" width="9" bestFit="1" customWidth="1"/>
    <col min="11" max="11" width="9.140625" bestFit="1" customWidth="1"/>
    <col min="12" max="12" width="8.28515625" bestFit="1" customWidth="1"/>
    <col min="13" max="13" width="5.7109375" bestFit="1" customWidth="1"/>
    <col min="14" max="14" width="7.85546875" bestFit="1" customWidth="1"/>
    <col min="15" max="15" width="9.28515625" customWidth="1"/>
    <col min="16" max="16" width="7" bestFit="1" customWidth="1"/>
    <col min="17" max="17" width="7.28515625" bestFit="1" customWidth="1"/>
    <col min="18" max="18" width="6.42578125" bestFit="1" customWidth="1"/>
    <col min="19" max="19" width="11" customWidth="1"/>
    <col min="20" max="20" width="8.7109375" customWidth="1"/>
    <col min="21" max="21" width="8.28515625" bestFit="1" customWidth="1"/>
    <col min="22" max="22" width="11.140625" bestFit="1" customWidth="1"/>
    <col min="23" max="23" width="9.28515625" bestFit="1" customWidth="1"/>
    <col min="24" max="24" width="14" bestFit="1" customWidth="1"/>
    <col min="25" max="25" width="10.85546875" customWidth="1"/>
    <col min="26" max="26" width="5.42578125" customWidth="1"/>
    <col min="27" max="27" width="1.85546875" customWidth="1"/>
  </cols>
  <sheetData>
    <row r="1" spans="1:29" ht="15" customHeight="1" x14ac:dyDescent="0.25">
      <c r="A1" s="325" t="s">
        <v>244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72" t="s">
        <v>1</v>
      </c>
      <c r="C4" s="240" t="s">
        <v>2</v>
      </c>
      <c r="D4" s="240" t="s">
        <v>3</v>
      </c>
      <c r="E4" s="240" t="s">
        <v>4</v>
      </c>
      <c r="F4" s="240" t="s">
        <v>102</v>
      </c>
      <c r="G4" s="240" t="s">
        <v>6</v>
      </c>
      <c r="H4" s="240" t="s">
        <v>7</v>
      </c>
      <c r="I4" s="240" t="s">
        <v>101</v>
      </c>
      <c r="J4" s="240" t="s">
        <v>9</v>
      </c>
      <c r="K4" s="240" t="s">
        <v>10</v>
      </c>
      <c r="L4" s="240" t="s">
        <v>11</v>
      </c>
      <c r="M4" s="240" t="s">
        <v>12</v>
      </c>
      <c r="N4" s="240" t="s">
        <v>13</v>
      </c>
      <c r="O4" s="240" t="s">
        <v>14</v>
      </c>
      <c r="P4" s="240" t="s">
        <v>15</v>
      </c>
      <c r="Q4" s="238" t="s">
        <v>16</v>
      </c>
      <c r="R4" s="239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/>
      <c r="K6" s="19"/>
      <c r="L6" s="19"/>
      <c r="M6" s="19"/>
      <c r="N6" s="19"/>
      <c r="O6" s="19"/>
      <c r="P6" s="19"/>
      <c r="Q6" s="19"/>
      <c r="R6" s="19">
        <v>15</v>
      </c>
      <c r="S6" s="24">
        <f>C6/100*$C$31+D6/100*$D$31+E6/100*$E$31+F6/100*$F$31+G6/100*$G$31+H6/100*$H$31+I6/100*$I$31+J6/100*$J$31+K6/100*$K$31+L6/100*$L$31+M6/100*$M$31+N6/100*$N$31+O6/100*$O$31+P6/100*$P$31+Q6/100*$Q$31+R6/100*$R$31</f>
        <v>4172.3999999999996</v>
      </c>
      <c r="T6" s="140">
        <f>S6*100/$S$31</f>
        <v>0.2450387637417332</v>
      </c>
      <c r="U6" s="22"/>
      <c r="V6" s="22"/>
      <c r="W6" s="22"/>
      <c r="X6" s="23"/>
      <c r="Y6" s="20">
        <f>U6/100*$U$31+V6/100*$V$31+W6/100*$W$31+X6/100*$X$31+S6</f>
        <v>4172.3999999999996</v>
      </c>
      <c r="Z6" s="25">
        <f t="shared" ref="Z6:Z28" si="0">Y6*100/$Y$31</f>
        <v>0.20416032192780892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>
        <v>30</v>
      </c>
      <c r="K12" s="22">
        <v>100</v>
      </c>
      <c r="L12" s="22">
        <v>100</v>
      </c>
      <c r="M12" s="22"/>
      <c r="N12" s="22"/>
      <c r="O12" s="22"/>
      <c r="P12" s="22"/>
      <c r="Q12" s="22"/>
      <c r="R12" s="22"/>
      <c r="S12" s="20">
        <f t="shared" si="1"/>
        <v>1316166.5</v>
      </c>
      <c r="T12" s="21">
        <f t="shared" si="2"/>
        <v>77.296474939671157</v>
      </c>
      <c r="U12" s="22"/>
      <c r="V12" s="22"/>
      <c r="W12" s="22"/>
      <c r="X12" s="23"/>
      <c r="Y12" s="20">
        <f t="shared" si="3"/>
        <v>1316166.5</v>
      </c>
      <c r="Z12" s="25">
        <f t="shared" si="0"/>
        <v>64.401537808119443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>
        <v>100</v>
      </c>
      <c r="D14" s="22"/>
      <c r="E14" s="22"/>
      <c r="F14" s="22"/>
      <c r="G14" s="22"/>
      <c r="H14" s="22"/>
      <c r="I14" s="22"/>
      <c r="J14" s="22">
        <v>70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349869.5</v>
      </c>
      <c r="T14" s="21">
        <f t="shared" si="2"/>
        <v>20.547308443806521</v>
      </c>
      <c r="U14" s="22"/>
      <c r="V14" s="22"/>
      <c r="W14" s="22"/>
      <c r="X14" s="23"/>
      <c r="Y14" s="20">
        <f t="shared" si="3"/>
        <v>349869.5</v>
      </c>
      <c r="Z14" s="25">
        <f t="shared" si="0"/>
        <v>17.1195162862433</v>
      </c>
    </row>
    <row r="15" spans="1:29" x14ac:dyDescent="0.25">
      <c r="A15" s="31" t="s">
        <v>35</v>
      </c>
      <c r="B15" s="18" t="s">
        <v>25</v>
      </c>
      <c r="C15" s="32"/>
      <c r="D15" s="22">
        <v>100</v>
      </c>
      <c r="E15" s="22">
        <v>100</v>
      </c>
      <c r="F15" s="22"/>
      <c r="G15" s="22">
        <v>100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8899</v>
      </c>
      <c r="T15" s="21">
        <f t="shared" si="2"/>
        <v>0.52262485824410032</v>
      </c>
      <c r="U15" s="22"/>
      <c r="V15" s="33"/>
      <c r="W15" s="22"/>
      <c r="X15" s="23"/>
      <c r="Y15" s="20">
        <f t="shared" si="3"/>
        <v>8899</v>
      </c>
      <c r="Z15" s="25">
        <f t="shared" si="0"/>
        <v>0.43543828607889268</v>
      </c>
    </row>
    <row r="16" spans="1:29" x14ac:dyDescent="0.25">
      <c r="A16" s="193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0</v>
      </c>
      <c r="T16" s="21">
        <f t="shared" si="2"/>
        <v>0</v>
      </c>
      <c r="U16" s="22"/>
      <c r="V16" s="33"/>
      <c r="W16" s="22"/>
      <c r="X16" s="23"/>
      <c r="Y16" s="20">
        <f t="shared" si="3"/>
        <v>0</v>
      </c>
      <c r="Z16" s="25">
        <f t="shared" si="0"/>
        <v>0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85</v>
      </c>
      <c r="G17" s="22"/>
      <c r="H17" s="22">
        <v>85</v>
      </c>
      <c r="I17" s="22"/>
      <c r="J17" s="22"/>
      <c r="K17" s="22"/>
      <c r="L17" s="22"/>
      <c r="M17" s="22"/>
      <c r="N17" s="22"/>
      <c r="O17" s="22"/>
      <c r="P17" s="22"/>
      <c r="Q17" s="22"/>
      <c r="R17" s="22">
        <v>85</v>
      </c>
      <c r="S17" s="20">
        <f t="shared" si="1"/>
        <v>23643.599999999999</v>
      </c>
      <c r="T17" s="21">
        <f t="shared" si="2"/>
        <v>1.3885529945364883</v>
      </c>
      <c r="U17" s="33"/>
      <c r="V17" s="22"/>
      <c r="W17" s="22"/>
      <c r="X17" s="23"/>
      <c r="Y17" s="20">
        <f t="shared" si="3"/>
        <v>23643.599999999999</v>
      </c>
      <c r="Z17" s="25">
        <f t="shared" si="0"/>
        <v>1.1569084909242506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10</v>
      </c>
      <c r="V19" s="22"/>
      <c r="W19" s="22"/>
      <c r="X19" s="23"/>
      <c r="Y19" s="20">
        <f t="shared" si="3"/>
        <v>34093.700000000004</v>
      </c>
      <c r="Z19" s="25">
        <f t="shared" si="0"/>
        <v>1.668243880670631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19</v>
      </c>
      <c r="V20" s="22"/>
      <c r="W20" s="22"/>
      <c r="X20" s="23"/>
      <c r="Y20" s="20">
        <f t="shared" si="3"/>
        <v>64778.03</v>
      </c>
      <c r="Z20" s="25">
        <f t="shared" si="0"/>
        <v>3.1696633732741986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0</v>
      </c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0</v>
      </c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3</v>
      </c>
      <c r="V23" s="22"/>
      <c r="W23" s="22"/>
      <c r="X23" s="23"/>
      <c r="Y23" s="20">
        <f t="shared" si="3"/>
        <v>10228.109999999999</v>
      </c>
      <c r="Z23" s="25">
        <f t="shared" si="0"/>
        <v>0.50047316420118915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35</v>
      </c>
      <c r="V24" s="22"/>
      <c r="W24" s="22"/>
      <c r="X24" s="23"/>
      <c r="Y24" s="20">
        <f t="shared" si="3"/>
        <v>119327.95</v>
      </c>
      <c r="Z24" s="25">
        <f t="shared" si="0"/>
        <v>5.8388535823472072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19</v>
      </c>
      <c r="V25" s="22"/>
      <c r="W25" s="22"/>
      <c r="X25" s="23"/>
      <c r="Y25" s="20">
        <f t="shared" si="3"/>
        <v>64778.03</v>
      </c>
      <c r="Z25" s="25">
        <f t="shared" si="0"/>
        <v>3.1696633732741986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>
        <v>0</v>
      </c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13</v>
      </c>
      <c r="V27" s="22"/>
      <c r="W27" s="22"/>
      <c r="X27" s="23"/>
      <c r="Y27" s="20">
        <f t="shared" si="3"/>
        <v>44321.810000000005</v>
      </c>
      <c r="Z27" s="25">
        <f t="shared" si="0"/>
        <v>2.1687170448718205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1</v>
      </c>
      <c r="V28" s="22"/>
      <c r="W28" s="22"/>
      <c r="X28" s="23"/>
      <c r="Y28" s="20">
        <f t="shared" si="3"/>
        <v>3409.37</v>
      </c>
      <c r="Z28" s="25">
        <f t="shared" si="0"/>
        <v>0.16682438806706307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100</v>
      </c>
      <c r="L30" s="44">
        <f t="shared" si="4"/>
        <v>100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0</v>
      </c>
      <c r="R30" s="44">
        <f t="shared" si="4"/>
        <v>100</v>
      </c>
      <c r="S30" s="20">
        <f>+SUM(S6:S29)</f>
        <v>1702751</v>
      </c>
      <c r="T30" s="20">
        <f>+SUM(T6:T29)</f>
        <v>100</v>
      </c>
      <c r="U30" s="44">
        <f>SUM(U6:U29)</f>
        <v>100</v>
      </c>
      <c r="V30" s="44">
        <f t="shared" ref="V30" si="5">SUM(V6:V29)</f>
        <v>0</v>
      </c>
      <c r="W30" s="44">
        <f>SUM(W6:W29)</f>
        <v>0</v>
      </c>
      <c r="X30" s="44">
        <f>SUM(X6:X29)</f>
        <v>0</v>
      </c>
      <c r="Y30" s="39">
        <f>SUM(Y6:Y29)</f>
        <v>2043688.0000000002</v>
      </c>
      <c r="Z30" s="42">
        <f>SUM(Z6:Z29)</f>
        <v>100.00000000000004</v>
      </c>
    </row>
    <row r="31" spans="1:27" ht="15.75" thickBot="1" x14ac:dyDescent="0.3">
      <c r="A31" s="45" t="s">
        <v>51</v>
      </c>
      <c r="B31" s="46" t="s">
        <v>24</v>
      </c>
      <c r="C31" s="47">
        <v>2841</v>
      </c>
      <c r="D31" s="273">
        <v>1</v>
      </c>
      <c r="E31" s="47">
        <v>180</v>
      </c>
      <c r="F31" s="47">
        <v>24651</v>
      </c>
      <c r="G31" s="47">
        <v>8718</v>
      </c>
      <c r="H31" s="47">
        <v>3165</v>
      </c>
      <c r="I31" s="47">
        <v>0</v>
      </c>
      <c r="J31" s="273">
        <v>495755</v>
      </c>
      <c r="K31" s="47">
        <v>855282</v>
      </c>
      <c r="L31" s="273">
        <v>312158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8">
        <f>SUM(C31:R31)</f>
        <v>1702751</v>
      </c>
      <c r="T31" s="48">
        <f>S31*100/$S$31</f>
        <v>100</v>
      </c>
      <c r="U31" s="274">
        <v>340937</v>
      </c>
      <c r="V31" s="47">
        <v>0</v>
      </c>
      <c r="W31" s="47">
        <v>0</v>
      </c>
      <c r="X31" s="141">
        <v>0</v>
      </c>
      <c r="Y31" s="48">
        <f>+S31+U31+V31+W31+X31</f>
        <v>2043688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  <c r="J34" s="81"/>
    </row>
    <row r="35" spans="1:19" x14ac:dyDescent="0.25">
      <c r="A35" s="59" t="s">
        <v>54</v>
      </c>
      <c r="F35" s="67"/>
      <c r="G35" s="10"/>
    </row>
    <row r="36" spans="1:19" x14ac:dyDescent="0.25">
      <c r="A36" s="59" t="s">
        <v>56</v>
      </c>
      <c r="B36" s="22" t="s">
        <v>245</v>
      </c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</sheetData>
  <mergeCells count="3">
    <mergeCell ref="Y4:Z4"/>
    <mergeCell ref="A1:Z2"/>
    <mergeCell ref="S4:T4"/>
  </mergeCells>
  <pageMargins left="0.25" right="0.22" top="0.74803149606299213" bottom="0.74803149606299213" header="0.31496062992125984" footer="0.31496062992125984"/>
  <pageSetup paperSize="9" scale="5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C47"/>
  <sheetViews>
    <sheetView zoomScale="90" zoomScaleNormal="90" workbookViewId="0">
      <selection activeCell="A3" sqref="A3"/>
    </sheetView>
  </sheetViews>
  <sheetFormatPr defaultRowHeight="15" x14ac:dyDescent="0.25"/>
  <cols>
    <col min="1" max="1" width="33.85546875" customWidth="1"/>
    <col min="2" max="2" width="7.28515625" customWidth="1"/>
    <col min="3" max="3" width="9.28515625" customWidth="1"/>
    <col min="4" max="5" width="12.42578125" customWidth="1"/>
    <col min="6" max="6" width="11.140625" customWidth="1"/>
    <col min="7" max="8" width="9.140625" bestFit="1" customWidth="1"/>
    <col min="9" max="9" width="10.7109375" customWidth="1"/>
    <col min="10" max="10" width="9.140625" bestFit="1" customWidth="1"/>
    <col min="11" max="11" width="5.28515625" customWidth="1"/>
    <col min="12" max="12" width="5.140625" customWidth="1"/>
    <col min="13" max="13" width="6" customWidth="1"/>
    <col min="14" max="14" width="7.85546875" bestFit="1" customWidth="1"/>
    <col min="15" max="15" width="9.42578125" customWidth="1"/>
    <col min="16" max="16" width="7" bestFit="1" customWidth="1"/>
    <col min="17" max="17" width="8.140625" bestFit="1" customWidth="1"/>
    <col min="18" max="18" width="6.5703125" customWidth="1"/>
    <col min="19" max="19" width="10.5703125" customWidth="1"/>
    <col min="20" max="20" width="8.140625" customWidth="1"/>
    <col min="21" max="21" width="10.140625" customWidth="1"/>
    <col min="22" max="22" width="11.140625" bestFit="1" customWidth="1"/>
    <col min="23" max="23" width="9.140625" customWidth="1"/>
    <col min="24" max="24" width="12.7109375" customWidth="1"/>
    <col min="25" max="25" width="10.140625" customWidth="1"/>
    <col min="26" max="26" width="7.42578125" customWidth="1"/>
    <col min="27" max="27" width="1.85546875" customWidth="1"/>
  </cols>
  <sheetData>
    <row r="1" spans="1:29" ht="15" customHeight="1" x14ac:dyDescent="0.25">
      <c r="A1" s="325" t="s">
        <v>242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10</v>
      </c>
      <c r="K6" s="19"/>
      <c r="L6" s="19"/>
      <c r="M6" s="19"/>
      <c r="N6" s="19">
        <v>25</v>
      </c>
      <c r="O6" s="19">
        <v>25</v>
      </c>
      <c r="P6" s="19"/>
      <c r="Q6" s="19">
        <v>15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306377.55</v>
      </c>
      <c r="T6" s="21">
        <f>S6*100/$S$31</f>
        <v>10.494380094291927</v>
      </c>
      <c r="U6" s="22"/>
      <c r="V6" s="22"/>
      <c r="W6" s="22"/>
      <c r="X6" s="23"/>
      <c r="Y6" s="20">
        <f>U6/100*$U$31+V6/100*$V$31+W6/100*$W$31+X6/100*$X$31+S6</f>
        <v>306377.55</v>
      </c>
      <c r="Z6" s="25">
        <f t="shared" ref="Z6:Z28" si="0">Y6*100/$Y$31</f>
        <v>9.3007164110325391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70</v>
      </c>
      <c r="G8" s="22"/>
      <c r="H8" s="22">
        <v>70</v>
      </c>
      <c r="I8" s="22"/>
      <c r="J8" s="22">
        <v>58</v>
      </c>
      <c r="K8" s="22"/>
      <c r="L8" s="22"/>
      <c r="M8" s="22"/>
      <c r="N8" s="22">
        <v>63</v>
      </c>
      <c r="O8" s="22">
        <v>63</v>
      </c>
      <c r="P8" s="22"/>
      <c r="Q8" s="22">
        <v>70</v>
      </c>
      <c r="R8" s="22"/>
      <c r="S8" s="20">
        <f t="shared" si="1"/>
        <v>1512422.69</v>
      </c>
      <c r="T8" s="21">
        <f t="shared" si="2"/>
        <v>51.805161873288199</v>
      </c>
      <c r="U8" s="22"/>
      <c r="V8" s="22"/>
      <c r="W8" s="22"/>
      <c r="X8" s="23"/>
      <c r="Y8" s="20">
        <f t="shared" si="3"/>
        <v>1512422.69</v>
      </c>
      <c r="Z8" s="25">
        <f t="shared" si="0"/>
        <v>45.912680394829771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70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70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70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70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70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>
        <v>100</v>
      </c>
      <c r="D14" s="22"/>
      <c r="E14" s="22"/>
      <c r="F14" s="22">
        <v>15</v>
      </c>
      <c r="G14" s="22"/>
      <c r="H14" s="22">
        <v>15</v>
      </c>
      <c r="I14" s="22"/>
      <c r="J14" s="22">
        <v>12</v>
      </c>
      <c r="K14" s="22"/>
      <c r="L14" s="22"/>
      <c r="M14" s="22"/>
      <c r="N14" s="22">
        <v>12</v>
      </c>
      <c r="O14" s="22">
        <v>12</v>
      </c>
      <c r="P14" s="22"/>
      <c r="Q14" s="22">
        <v>15</v>
      </c>
      <c r="R14" s="22"/>
      <c r="S14" s="20">
        <f t="shared" si="1"/>
        <v>471726.16000000009</v>
      </c>
      <c r="T14" s="21">
        <f t="shared" si="2"/>
        <v>16.158082155369314</v>
      </c>
      <c r="U14" s="270"/>
      <c r="V14" s="22"/>
      <c r="W14" s="22"/>
      <c r="X14" s="23"/>
      <c r="Y14" s="20">
        <f t="shared" si="3"/>
        <v>471726.16000000009</v>
      </c>
      <c r="Z14" s="25">
        <f t="shared" si="0"/>
        <v>14.320211248589727</v>
      </c>
    </row>
    <row r="15" spans="1:29" x14ac:dyDescent="0.25">
      <c r="A15" s="31" t="s">
        <v>35</v>
      </c>
      <c r="B15" s="18" t="s">
        <v>25</v>
      </c>
      <c r="C15" s="32"/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29</v>
      </c>
      <c r="T15" s="21">
        <f t="shared" si="2"/>
        <v>9.9333982772062076E-4</v>
      </c>
      <c r="U15" s="270"/>
      <c r="V15" s="33"/>
      <c r="W15" s="22"/>
      <c r="X15" s="23"/>
      <c r="Y15" s="20">
        <f t="shared" si="3"/>
        <v>29</v>
      </c>
      <c r="Z15" s="25">
        <f t="shared" si="0"/>
        <v>8.803542424043264E-4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473314</v>
      </c>
      <c r="T16" s="21">
        <f t="shared" si="2"/>
        <v>16.212470593715789</v>
      </c>
      <c r="U16" s="270"/>
      <c r="V16" s="33"/>
      <c r="W16" s="22"/>
      <c r="X16" s="23"/>
      <c r="Y16" s="20">
        <f t="shared" si="3"/>
        <v>473314</v>
      </c>
      <c r="Z16" s="25">
        <f t="shared" si="0"/>
        <v>14.368413375495217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/>
      <c r="I17" s="22"/>
      <c r="J17" s="22">
        <v>20</v>
      </c>
      <c r="K17" s="22"/>
      <c r="L17" s="22"/>
      <c r="M17" s="22"/>
      <c r="N17" s="22"/>
      <c r="O17" s="22"/>
      <c r="P17" s="22"/>
      <c r="Q17" s="22"/>
      <c r="R17" s="22"/>
      <c r="S17" s="20">
        <f t="shared" si="1"/>
        <v>155574.6</v>
      </c>
      <c r="T17" s="21">
        <f t="shared" si="2"/>
        <v>5.3289119435070518</v>
      </c>
      <c r="U17" s="270"/>
      <c r="V17" s="22">
        <v>100</v>
      </c>
      <c r="W17" s="22"/>
      <c r="X17" s="23">
        <v>100</v>
      </c>
      <c r="Y17" s="20">
        <f t="shared" si="3"/>
        <v>231572.1</v>
      </c>
      <c r="Z17" s="25">
        <f t="shared" si="0"/>
        <v>7.0298441606027211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270">
        <v>1</v>
      </c>
      <c r="V18" s="22"/>
      <c r="W18" s="22"/>
      <c r="X18" s="23"/>
      <c r="Y18" s="20">
        <f t="shared" si="3"/>
        <v>2986.87</v>
      </c>
      <c r="Z18" s="25">
        <f t="shared" si="0"/>
        <v>9.0672540552076214E-2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270">
        <v>5</v>
      </c>
      <c r="V19" s="22"/>
      <c r="W19" s="22"/>
      <c r="X19" s="23"/>
      <c r="Y19" s="20">
        <f t="shared" si="3"/>
        <v>14934.35</v>
      </c>
      <c r="Z19" s="25">
        <f t="shared" si="0"/>
        <v>0.4533627027603811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270">
        <v>10</v>
      </c>
      <c r="V20" s="22"/>
      <c r="W20" s="22"/>
      <c r="X20" s="23"/>
      <c r="Y20" s="20">
        <f t="shared" si="3"/>
        <v>29868.7</v>
      </c>
      <c r="Z20" s="25">
        <f t="shared" si="0"/>
        <v>0.9067254055207622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270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270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270">
        <v>2</v>
      </c>
      <c r="V23" s="22"/>
      <c r="W23" s="22"/>
      <c r="X23" s="23"/>
      <c r="Y23" s="20">
        <f t="shared" si="3"/>
        <v>5973.74</v>
      </c>
      <c r="Z23" s="25">
        <f t="shared" si="0"/>
        <v>0.18134508110415243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70">
        <v>5</v>
      </c>
      <c r="V24" s="22"/>
      <c r="W24" s="22"/>
      <c r="X24" s="23"/>
      <c r="Y24" s="20">
        <f t="shared" si="3"/>
        <v>14934.35</v>
      </c>
      <c r="Z24" s="25">
        <f t="shared" si="0"/>
        <v>0.4533627027603811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270">
        <v>10</v>
      </c>
      <c r="V25" s="22"/>
      <c r="W25" s="22"/>
      <c r="X25" s="23"/>
      <c r="Y25" s="20">
        <f t="shared" si="3"/>
        <v>29868.7</v>
      </c>
      <c r="Z25" s="25">
        <f t="shared" si="0"/>
        <v>0.9067254055207622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70">
        <v>30</v>
      </c>
      <c r="V26" s="22"/>
      <c r="W26" s="22"/>
      <c r="X26" s="23"/>
      <c r="Y26" s="20">
        <f t="shared" si="3"/>
        <v>89606.099999999991</v>
      </c>
      <c r="Z26" s="25">
        <f t="shared" si="0"/>
        <v>2.7201762165622867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270">
        <v>35</v>
      </c>
      <c r="V27" s="22"/>
      <c r="W27" s="22"/>
      <c r="X27" s="23"/>
      <c r="Y27" s="20">
        <f t="shared" si="3"/>
        <v>104540.45</v>
      </c>
      <c r="Z27" s="25">
        <f t="shared" si="0"/>
        <v>3.1735389193226675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270"/>
      <c r="V28" s="22"/>
      <c r="W28" s="22"/>
      <c r="X28" s="23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271">
        <v>2</v>
      </c>
      <c r="V29" s="38"/>
      <c r="W29" s="38"/>
      <c r="X29" s="41"/>
      <c r="Y29" s="39">
        <f t="shared" si="3"/>
        <v>5973.74</v>
      </c>
      <c r="Z29" s="42">
        <f>Y29*100/$Y$31</f>
        <v>0.18134508110415243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100</v>
      </c>
      <c r="O30" s="44">
        <f t="shared" si="4"/>
        <v>100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2919444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100</v>
      </c>
      <c r="Y30" s="39">
        <f>SUM(Y6:Y29)</f>
        <v>3294128.5000000014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151123</v>
      </c>
      <c r="D31" s="47">
        <v>29</v>
      </c>
      <c r="E31" s="47">
        <v>9599</v>
      </c>
      <c r="F31" s="47">
        <v>1311161</v>
      </c>
      <c r="G31" s="47">
        <v>463715</v>
      </c>
      <c r="H31" s="47">
        <v>168316</v>
      </c>
      <c r="I31" s="47">
        <v>0</v>
      </c>
      <c r="J31" s="47">
        <v>777873</v>
      </c>
      <c r="K31" s="47">
        <v>0</v>
      </c>
      <c r="L31" s="47">
        <v>0</v>
      </c>
      <c r="M31" s="47">
        <v>0</v>
      </c>
      <c r="N31" s="47">
        <v>133</v>
      </c>
      <c r="O31" s="47">
        <v>10112</v>
      </c>
      <c r="P31" s="47">
        <v>0</v>
      </c>
      <c r="Q31" s="47">
        <v>27383</v>
      </c>
      <c r="R31" s="47">
        <v>0</v>
      </c>
      <c r="S31" s="48">
        <f>SUM(C31:R31)</f>
        <v>2919444</v>
      </c>
      <c r="T31" s="48">
        <f>S31*100/$S$31</f>
        <v>100</v>
      </c>
      <c r="U31" s="47">
        <v>298687</v>
      </c>
      <c r="V31" s="47">
        <v>59082</v>
      </c>
      <c r="W31" s="47">
        <v>0</v>
      </c>
      <c r="X31" s="141">
        <v>16915.5</v>
      </c>
      <c r="Y31" s="48">
        <f>+S31+U31+V31+W31+X31</f>
        <v>3294128.5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 t="s">
        <v>243</v>
      </c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47" spans="1:19" ht="18.75" x14ac:dyDescent="0.3">
      <c r="A47" s="60"/>
      <c r="B47" s="65"/>
    </row>
  </sheetData>
  <mergeCells count="3">
    <mergeCell ref="S4:T4"/>
    <mergeCell ref="Y4:Z4"/>
    <mergeCell ref="A1:Z2"/>
  </mergeCells>
  <pageMargins left="0.24" right="0.28000000000000003" top="0.74803149606299213" bottom="0.74803149606299213" header="0.31496062992125984" footer="0.31496062992125984"/>
  <pageSetup paperSize="9" scale="5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C45"/>
  <sheetViews>
    <sheetView zoomScale="90" zoomScaleNormal="90" workbookViewId="0">
      <selection activeCell="T30" sqref="T30"/>
    </sheetView>
  </sheetViews>
  <sheetFormatPr defaultRowHeight="15" x14ac:dyDescent="0.25"/>
  <cols>
    <col min="1" max="1" width="34.28515625" customWidth="1"/>
    <col min="2" max="2" width="7.28515625" customWidth="1"/>
    <col min="3" max="3" width="8.5703125" customWidth="1"/>
    <col min="4" max="5" width="12.7109375" customWidth="1"/>
    <col min="6" max="6" width="9.28515625" customWidth="1"/>
    <col min="7" max="7" width="8.140625" bestFit="1" customWidth="1"/>
    <col min="8" max="8" width="8.28515625" bestFit="1" customWidth="1"/>
    <col min="9" max="9" width="11.42578125" customWidth="1"/>
    <col min="10" max="10" width="10.7109375" customWidth="1"/>
    <col min="11" max="12" width="6.140625" customWidth="1"/>
    <col min="13" max="13" width="5.7109375" bestFit="1" customWidth="1"/>
    <col min="14" max="14" width="7.85546875" bestFit="1" customWidth="1"/>
    <col min="15" max="15" width="9.140625" customWidth="1"/>
    <col min="16" max="16" width="7" bestFit="1" customWidth="1"/>
    <col min="17" max="17" width="7.28515625" bestFit="1" customWidth="1"/>
    <col min="18" max="18" width="6.42578125" bestFit="1" customWidth="1"/>
    <col min="19" max="19" width="10.28515625" customWidth="1"/>
    <col min="20" max="20" width="7.42578125" customWidth="1"/>
    <col min="21" max="21" width="10.7109375" bestFit="1" customWidth="1"/>
    <col min="22" max="22" width="11.140625" bestFit="1" customWidth="1"/>
    <col min="23" max="23" width="9.28515625" bestFit="1" customWidth="1"/>
    <col min="24" max="24" width="13.5703125" customWidth="1"/>
    <col min="25" max="25" width="9.8554687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218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4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6" t="s">
        <v>15</v>
      </c>
      <c r="Q4" s="246" t="s">
        <v>16</v>
      </c>
      <c r="R4" s="247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11</v>
      </c>
      <c r="G6" s="19"/>
      <c r="H6" s="19">
        <v>15</v>
      </c>
      <c r="I6" s="19"/>
      <c r="J6" s="19">
        <v>1</v>
      </c>
      <c r="K6" s="19"/>
      <c r="L6" s="19"/>
      <c r="M6" s="19"/>
      <c r="N6" s="19">
        <v>25</v>
      </c>
      <c r="O6" s="19"/>
      <c r="P6" s="19"/>
      <c r="Q6" s="19">
        <v>25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22573.18</v>
      </c>
      <c r="T6" s="140">
        <f>S6*100/$S$31</f>
        <v>1.3889324386020829</v>
      </c>
      <c r="U6" s="22"/>
      <c r="V6" s="22"/>
      <c r="W6" s="22"/>
      <c r="X6" s="23"/>
      <c r="Y6" s="24">
        <f>U6/100*$U$31+V6/100*$V$31+W6/100*$W$31+X6/100*$X$31+S6</f>
        <v>22573.18</v>
      </c>
      <c r="Z6" s="25">
        <f t="shared" ref="Z6:Z29" si="0">Y6*100/$Y$31</f>
        <v>0.7424037666832316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>
        <v>30</v>
      </c>
      <c r="V12" s="22"/>
      <c r="W12" s="22"/>
      <c r="X12" s="23"/>
      <c r="Y12" s="20">
        <f t="shared" si="3"/>
        <v>398897.1</v>
      </c>
      <c r="Z12" s="25">
        <f t="shared" si="0"/>
        <v>13.119228640316416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>
        <v>100</v>
      </c>
      <c r="D14" s="22"/>
      <c r="E14" s="22"/>
      <c r="F14" s="22"/>
      <c r="G14" s="22"/>
      <c r="H14" s="22"/>
      <c r="I14" s="22"/>
      <c r="J14" s="22">
        <v>95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1447609.5999999999</v>
      </c>
      <c r="T14" s="21">
        <f t="shared" si="2"/>
        <v>89.07171837870365</v>
      </c>
      <c r="U14" s="22">
        <v>25</v>
      </c>
      <c r="V14" s="22"/>
      <c r="W14" s="22"/>
      <c r="X14" s="23"/>
      <c r="Y14" s="20">
        <f t="shared" si="3"/>
        <v>1780023.8499999999</v>
      </c>
      <c r="Z14" s="25">
        <f t="shared" si="0"/>
        <v>58.542766726973682</v>
      </c>
    </row>
    <row r="15" spans="1:29" x14ac:dyDescent="0.25">
      <c r="A15" s="31" t="s">
        <v>35</v>
      </c>
      <c r="B15" s="18" t="s">
        <v>25</v>
      </c>
      <c r="C15" s="32"/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211</v>
      </c>
      <c r="T15" s="21">
        <f t="shared" si="2"/>
        <v>1.2982873682176791E-2</v>
      </c>
      <c r="U15" s="22"/>
      <c r="V15" s="33"/>
      <c r="W15" s="33"/>
      <c r="X15" s="23"/>
      <c r="Y15" s="20">
        <f t="shared" si="3"/>
        <v>211</v>
      </c>
      <c r="Z15" s="25">
        <f t="shared" si="0"/>
        <v>6.9395271189155398E-3</v>
      </c>
    </row>
    <row r="16" spans="1:29" x14ac:dyDescent="0.25">
      <c r="A16" s="193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40201</v>
      </c>
      <c r="T16" s="21">
        <f t="shared" si="2"/>
        <v>2.4735758525933136</v>
      </c>
      <c r="U16" s="22"/>
      <c r="V16" s="33"/>
      <c r="W16" s="33"/>
      <c r="X16" s="23"/>
      <c r="Y16" s="20">
        <f t="shared" si="3"/>
        <v>40201</v>
      </c>
      <c r="Z16" s="25">
        <f t="shared" si="0"/>
        <v>1.3221608043010598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89</v>
      </c>
      <c r="G17" s="22"/>
      <c r="H17" s="22">
        <v>85</v>
      </c>
      <c r="I17" s="22"/>
      <c r="J17" s="22">
        <v>4</v>
      </c>
      <c r="K17" s="22"/>
      <c r="L17" s="22"/>
      <c r="M17" s="22"/>
      <c r="N17" s="22">
        <v>75</v>
      </c>
      <c r="O17" s="22"/>
      <c r="P17" s="22"/>
      <c r="Q17" s="22">
        <v>75</v>
      </c>
      <c r="R17" s="22"/>
      <c r="S17" s="20">
        <f t="shared" si="1"/>
        <v>114623.22</v>
      </c>
      <c r="T17" s="21">
        <f t="shared" si="2"/>
        <v>7.0527904564187693</v>
      </c>
      <c r="U17" s="33"/>
      <c r="V17" s="22">
        <v>100</v>
      </c>
      <c r="W17" s="22"/>
      <c r="X17" s="23">
        <v>100</v>
      </c>
      <c r="Y17" s="20">
        <f t="shared" si="3"/>
        <v>200301.22</v>
      </c>
      <c r="Z17" s="25">
        <f t="shared" si="0"/>
        <v>6.5876575741320744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3</v>
      </c>
      <c r="V19" s="22"/>
      <c r="W19" s="22"/>
      <c r="X19" s="23"/>
      <c r="Y19" s="20">
        <f t="shared" si="3"/>
        <v>39889.71</v>
      </c>
      <c r="Z19" s="25">
        <f t="shared" si="0"/>
        <v>1.3119228640316416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8</v>
      </c>
      <c r="V20" s="22"/>
      <c r="W20" s="22"/>
      <c r="X20" s="23"/>
      <c r="Y20" s="20">
        <f t="shared" si="3"/>
        <v>106372.56</v>
      </c>
      <c r="Z20" s="25">
        <f t="shared" si="0"/>
        <v>3.4984609707510441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12</v>
      </c>
      <c r="V23" s="22"/>
      <c r="W23" s="22"/>
      <c r="X23" s="23"/>
      <c r="Y23" s="20">
        <f t="shared" si="3"/>
        <v>159558.84</v>
      </c>
      <c r="Z23" s="25">
        <f t="shared" si="0"/>
        <v>5.2476914561265664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1</v>
      </c>
      <c r="V24" s="22"/>
      <c r="W24" s="22"/>
      <c r="X24" s="23"/>
      <c r="Y24" s="20">
        <f t="shared" si="3"/>
        <v>13296.57</v>
      </c>
      <c r="Z24" s="25">
        <f t="shared" si="0"/>
        <v>0.43730762134388051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6</v>
      </c>
      <c r="V25" s="22"/>
      <c r="W25" s="22"/>
      <c r="X25" s="23"/>
      <c r="Y25" s="20">
        <f t="shared" si="3"/>
        <v>79779.42</v>
      </c>
      <c r="Z25" s="25">
        <f t="shared" si="0"/>
        <v>2.6238457280632832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>
        <v>4</v>
      </c>
      <c r="V26" s="22"/>
      <c r="W26" s="22"/>
      <c r="X26" s="23"/>
      <c r="Y26" s="20">
        <f t="shared" si="3"/>
        <v>53186.28</v>
      </c>
      <c r="Z26" s="25">
        <f t="shared" si="0"/>
        <v>1.7492304853755221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8</v>
      </c>
      <c r="V27" s="22"/>
      <c r="W27" s="22"/>
      <c r="X27" s="23"/>
      <c r="Y27" s="20">
        <f t="shared" si="3"/>
        <v>106372.56</v>
      </c>
      <c r="Z27" s="25">
        <f t="shared" si="0"/>
        <v>3.4984609707510441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1</v>
      </c>
      <c r="V28" s="22"/>
      <c r="W28" s="22"/>
      <c r="X28" s="23"/>
      <c r="Y28" s="20">
        <f t="shared" si="3"/>
        <v>13296.57</v>
      </c>
      <c r="Z28" s="25">
        <f t="shared" si="0"/>
        <v>0.43730762134388051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>
        <v>2</v>
      </c>
      <c r="V29" s="38"/>
      <c r="W29" s="38"/>
      <c r="X29" s="41"/>
      <c r="Y29" s="39">
        <f t="shared" si="3"/>
        <v>26593.14</v>
      </c>
      <c r="Z29" s="42">
        <f t="shared" si="0"/>
        <v>0.87461524268776103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100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1625217.9999999998</v>
      </c>
      <c r="T30" s="20">
        <f>+SUM(T6:T29)</f>
        <v>100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3040552.9999999995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37194</v>
      </c>
      <c r="D31" s="47">
        <v>211</v>
      </c>
      <c r="E31" s="47">
        <v>7039</v>
      </c>
      <c r="F31" s="47">
        <v>49905</v>
      </c>
      <c r="G31" s="47">
        <v>33162</v>
      </c>
      <c r="H31" s="47">
        <v>10276</v>
      </c>
      <c r="I31" s="47">
        <v>0</v>
      </c>
      <c r="J31" s="47">
        <v>1484648</v>
      </c>
      <c r="K31" s="47">
        <v>0</v>
      </c>
      <c r="L31" s="47">
        <v>0</v>
      </c>
      <c r="M31" s="47">
        <v>0</v>
      </c>
      <c r="N31" s="47">
        <v>69</v>
      </c>
      <c r="O31" s="47">
        <v>0</v>
      </c>
      <c r="P31" s="47">
        <v>0</v>
      </c>
      <c r="Q31" s="47">
        <v>2714</v>
      </c>
      <c r="R31" s="47">
        <v>0</v>
      </c>
      <c r="S31" s="48">
        <f>SUM(C31:R31)</f>
        <v>1625218</v>
      </c>
      <c r="T31" s="48">
        <f>S31*100/$S$31</f>
        <v>100</v>
      </c>
      <c r="U31" s="47">
        <v>1329657</v>
      </c>
      <c r="V31" s="47">
        <v>60649</v>
      </c>
      <c r="W31" s="47">
        <v>0</v>
      </c>
      <c r="X31" s="47">
        <v>25029</v>
      </c>
      <c r="Y31" s="48">
        <f>+S31+U31+V31+W31+X31</f>
        <v>3040553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 t="s">
        <v>219</v>
      </c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 t="s">
        <v>172</v>
      </c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220</v>
      </c>
      <c r="B43" s="62"/>
      <c r="C43" s="63">
        <v>3040554</v>
      </c>
      <c r="D43" s="63"/>
      <c r="E43" s="63"/>
      <c r="F43" s="64"/>
      <c r="G43" s="64"/>
    </row>
    <row r="44" spans="1:25" ht="14.25" customHeight="1" x14ac:dyDescent="0.3">
      <c r="A44" s="60"/>
      <c r="B44" s="61"/>
    </row>
    <row r="45" spans="1:25" ht="14.25" customHeight="1" x14ac:dyDescent="0.3">
      <c r="A45" s="60"/>
      <c r="B45" s="65"/>
      <c r="C45">
        <v>37194</v>
      </c>
      <c r="D45">
        <v>211</v>
      </c>
      <c r="E45">
        <v>7039</v>
      </c>
      <c r="F45">
        <v>49905</v>
      </c>
      <c r="G45">
        <v>33162</v>
      </c>
      <c r="H45">
        <v>10276</v>
      </c>
      <c r="I45">
        <v>0</v>
      </c>
      <c r="J45">
        <v>1484648</v>
      </c>
      <c r="K45">
        <v>0</v>
      </c>
      <c r="L45">
        <v>0</v>
      </c>
      <c r="M45">
        <v>0</v>
      </c>
      <c r="N45">
        <v>69</v>
      </c>
      <c r="O45">
        <v>0</v>
      </c>
      <c r="P45">
        <v>0</v>
      </c>
      <c r="Q45">
        <v>2714</v>
      </c>
      <c r="R45">
        <v>0</v>
      </c>
      <c r="U45">
        <v>1329657</v>
      </c>
      <c r="V45">
        <v>60649</v>
      </c>
      <c r="W45">
        <v>0</v>
      </c>
      <c r="X45">
        <v>25029</v>
      </c>
      <c r="Y45">
        <v>3040553</v>
      </c>
    </row>
  </sheetData>
  <mergeCells count="3">
    <mergeCell ref="A1:Z2"/>
    <mergeCell ref="S4:T4"/>
    <mergeCell ref="Y4:Z4"/>
  </mergeCells>
  <pageMargins left="0.27" right="0.28000000000000003" top="0.74803149606299213" bottom="0.74803149606299213" header="0.31496062992125984" footer="0.31496062992125984"/>
  <pageSetup paperSize="9" scale="5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C47"/>
  <sheetViews>
    <sheetView zoomScale="90" zoomScaleNormal="90" workbookViewId="0">
      <selection activeCell="T30" sqref="T30"/>
    </sheetView>
  </sheetViews>
  <sheetFormatPr defaultRowHeight="15" x14ac:dyDescent="0.25"/>
  <cols>
    <col min="1" max="1" width="33.5703125" customWidth="1"/>
    <col min="2" max="2" width="6.28515625" customWidth="1"/>
    <col min="3" max="3" width="8.85546875" customWidth="1"/>
    <col min="4" max="4" width="12.85546875" customWidth="1"/>
    <col min="5" max="5" width="13" customWidth="1"/>
    <col min="6" max="6" width="9.140625" customWidth="1"/>
    <col min="7" max="7" width="9.140625" bestFit="1" customWidth="1"/>
    <col min="8" max="8" width="8.28515625" bestFit="1" customWidth="1"/>
    <col min="9" max="9" width="12.140625" customWidth="1"/>
    <col min="10" max="10" width="9.140625" bestFit="1" customWidth="1"/>
    <col min="11" max="11" width="6.140625" customWidth="1"/>
    <col min="12" max="12" width="6.28515625" customWidth="1"/>
    <col min="13" max="13" width="6.42578125" customWidth="1"/>
    <col min="14" max="14" width="7.85546875" bestFit="1" customWidth="1"/>
    <col min="15" max="15" width="9.42578125" customWidth="1"/>
    <col min="16" max="16" width="7" bestFit="1" customWidth="1"/>
    <col min="17" max="17" width="8.140625" bestFit="1" customWidth="1"/>
    <col min="18" max="18" width="7.5703125" customWidth="1"/>
    <col min="19" max="19" width="9.85546875" bestFit="1" customWidth="1"/>
    <col min="20" max="20" width="8.140625" customWidth="1"/>
    <col min="21" max="21" width="11.140625" customWidth="1"/>
    <col min="22" max="22" width="11.140625" bestFit="1" customWidth="1"/>
    <col min="23" max="23" width="9.28515625" bestFit="1" customWidth="1"/>
    <col min="24" max="24" width="12.42578125" customWidth="1"/>
    <col min="25" max="25" width="10.28515625" customWidth="1"/>
    <col min="26" max="26" width="6.5703125" customWidth="1"/>
    <col min="27" max="27" width="1.85546875" customWidth="1"/>
  </cols>
  <sheetData>
    <row r="1" spans="1:29" ht="15" customHeight="1" x14ac:dyDescent="0.25">
      <c r="A1" s="325" t="s">
        <v>208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0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7</v>
      </c>
      <c r="I6" s="19"/>
      <c r="J6" s="19">
        <v>15</v>
      </c>
      <c r="K6" s="19"/>
      <c r="L6" s="19"/>
      <c r="M6" s="19"/>
      <c r="N6" s="19">
        <v>25</v>
      </c>
      <c r="O6" s="19">
        <v>25</v>
      </c>
      <c r="P6" s="19"/>
      <c r="Q6" s="19">
        <v>15</v>
      </c>
      <c r="R6" s="19">
        <v>25</v>
      </c>
      <c r="S6" s="20">
        <f>C6/100*$C$31+D6/100*$D$31+E6/100*$E$31+F6/100*$F$31+G6/100*$G$31+H6/100*$H$31+I6/100*$I$31+J6/100*$J$31+K6/100*$K$31+L6/100*$L$31+M6/100*$M$31+N6/100*$N$31+O6/100*$O$31+P6/100*$P$31+Q6/100*$Q$31+R6/100*$R$31</f>
        <v>222673.03</v>
      </c>
      <c r="T6" s="21">
        <f>S6*100/$S$31</f>
        <v>8.9505245755221132</v>
      </c>
      <c r="U6" s="22"/>
      <c r="V6" s="22"/>
      <c r="W6" s="22"/>
      <c r="X6" s="23"/>
      <c r="Y6" s="20">
        <f>U6/100*$U$31+V6/100*$V$31+W6/100*$W$31+X6/100*$X$31+S6</f>
        <v>222673.03</v>
      </c>
      <c r="Z6" s="25">
        <f t="shared" ref="Z6:Z29" si="0">Y6*100/$Y$31</f>
        <v>4.8185985809488443</v>
      </c>
    </row>
    <row r="7" spans="1:29" x14ac:dyDescent="0.25">
      <c r="A7" s="26" t="s">
        <v>27</v>
      </c>
      <c r="B7" s="18" t="s">
        <v>25</v>
      </c>
      <c r="C7" s="22">
        <v>5</v>
      </c>
      <c r="D7" s="22"/>
      <c r="E7" s="22"/>
      <c r="F7" s="22">
        <v>4</v>
      </c>
      <c r="G7" s="22"/>
      <c r="H7" s="22"/>
      <c r="I7" s="22"/>
      <c r="J7" s="22">
        <v>8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94833.56</v>
      </c>
      <c r="T7" s="21">
        <f>S7*100/$S$31</f>
        <v>3.8119125129983225</v>
      </c>
      <c r="U7" s="22">
        <v>2</v>
      </c>
      <c r="V7" s="22">
        <v>9</v>
      </c>
      <c r="W7" s="22"/>
      <c r="X7" s="23"/>
      <c r="Y7" s="20">
        <f t="shared" ref="Y7:Y29" si="2">U7/100*$U$31+V7/100*$V$31+W7/100*$W$31+X7/100*$X$31+S7</f>
        <v>157668.38</v>
      </c>
      <c r="Z7" s="25">
        <f t="shared" si="0"/>
        <v>3.411911321853855</v>
      </c>
    </row>
    <row r="8" spans="1:29" x14ac:dyDescent="0.25">
      <c r="A8" s="3" t="s">
        <v>28</v>
      </c>
      <c r="B8" s="27" t="s">
        <v>25</v>
      </c>
      <c r="C8" s="22">
        <v>48</v>
      </c>
      <c r="D8" s="22"/>
      <c r="E8" s="22"/>
      <c r="F8" s="22">
        <v>10</v>
      </c>
      <c r="G8" s="22"/>
      <c r="H8" s="22"/>
      <c r="I8" s="22"/>
      <c r="J8" s="22">
        <v>20</v>
      </c>
      <c r="K8" s="22"/>
      <c r="L8" s="22"/>
      <c r="M8" s="22"/>
      <c r="N8" s="22">
        <v>3</v>
      </c>
      <c r="O8" s="22">
        <v>3</v>
      </c>
      <c r="P8" s="22"/>
      <c r="Q8" s="22"/>
      <c r="R8" s="22"/>
      <c r="S8" s="20">
        <f t="shared" si="1"/>
        <v>307621.38000000006</v>
      </c>
      <c r="T8" s="21">
        <f>S8*100/$S$31</f>
        <v>12.36509298699545</v>
      </c>
      <c r="U8" s="22"/>
      <c r="V8" s="22">
        <v>4</v>
      </c>
      <c r="W8" s="22"/>
      <c r="X8" s="23"/>
      <c r="Y8" s="20">
        <f t="shared" si="2"/>
        <v>320010.98000000004</v>
      </c>
      <c r="Z8" s="25">
        <f t="shared" si="0"/>
        <v>6.9249718033479368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>
        <v>30</v>
      </c>
      <c r="D12" s="22"/>
      <c r="E12" s="22"/>
      <c r="F12" s="22">
        <v>19</v>
      </c>
      <c r="G12" s="22"/>
      <c r="H12" s="22"/>
      <c r="I12" s="22"/>
      <c r="J12" s="22">
        <v>20</v>
      </c>
      <c r="K12" s="22"/>
      <c r="L12" s="22"/>
      <c r="M12" s="22"/>
      <c r="N12" s="22"/>
      <c r="O12" s="22"/>
      <c r="P12" s="22"/>
      <c r="Q12" s="22"/>
      <c r="R12" s="22"/>
      <c r="S12" s="20">
        <f t="shared" si="1"/>
        <v>287330.04000000004</v>
      </c>
      <c r="T12" s="21">
        <f t="shared" si="3"/>
        <v>11.54946597846067</v>
      </c>
      <c r="U12" s="22">
        <v>23</v>
      </c>
      <c r="V12" s="22"/>
      <c r="W12" s="22"/>
      <c r="X12" s="23"/>
      <c r="Y12" s="20">
        <f t="shared" si="2"/>
        <v>689349.57000000007</v>
      </c>
      <c r="Z12" s="25">
        <f t="shared" si="0"/>
        <v>14.917382943860314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>
        <v>1</v>
      </c>
      <c r="V13" s="22"/>
      <c r="W13" s="22"/>
      <c r="X13" s="23"/>
      <c r="Y13" s="20">
        <f t="shared" si="2"/>
        <v>17479.11</v>
      </c>
      <c r="Z13" s="25">
        <f t="shared" si="0"/>
        <v>0.37824434617092495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>
        <v>61</v>
      </c>
      <c r="I14" s="22"/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42306.83</v>
      </c>
      <c r="T14" s="21">
        <f t="shared" si="3"/>
        <v>1.7005576365823747</v>
      </c>
      <c r="U14" s="22"/>
      <c r="V14" s="22"/>
      <c r="W14" s="22"/>
      <c r="X14" s="23"/>
      <c r="Y14" s="20">
        <f t="shared" si="2"/>
        <v>42306.83</v>
      </c>
      <c r="Z14" s="25">
        <f t="shared" si="0"/>
        <v>0.91551110164730776</v>
      </c>
    </row>
    <row r="15" spans="1:29" x14ac:dyDescent="0.25">
      <c r="A15" s="31" t="s">
        <v>35</v>
      </c>
      <c r="B15" s="18" t="s">
        <v>25</v>
      </c>
      <c r="C15" s="22">
        <v>17</v>
      </c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32069.040000000001</v>
      </c>
      <c r="T15" s="21">
        <f t="shared" si="3"/>
        <v>1.2890412935657349</v>
      </c>
      <c r="U15" s="22"/>
      <c r="V15" s="33"/>
      <c r="W15" s="33"/>
      <c r="X15" s="23"/>
      <c r="Y15" s="20">
        <f t="shared" si="2"/>
        <v>32069.040000000001</v>
      </c>
      <c r="Z15" s="25">
        <f t="shared" si="0"/>
        <v>0.69396743124388138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881405</v>
      </c>
      <c r="T16" s="21">
        <f t="shared" si="3"/>
        <v>35.428794917319209</v>
      </c>
      <c r="U16" s="22"/>
      <c r="V16" s="33"/>
      <c r="W16" s="33"/>
      <c r="X16" s="23"/>
      <c r="Y16" s="20">
        <f t="shared" si="2"/>
        <v>881405</v>
      </c>
      <c r="Z16" s="25">
        <f t="shared" si="0"/>
        <v>19.073422956705695</v>
      </c>
    </row>
    <row r="17" spans="1:27" x14ac:dyDescent="0.25">
      <c r="A17" s="43" t="s">
        <v>37</v>
      </c>
      <c r="B17" s="30" t="s">
        <v>25</v>
      </c>
      <c r="C17" s="22"/>
      <c r="D17" s="22"/>
      <c r="E17" s="22">
        <v>0</v>
      </c>
      <c r="F17" s="22">
        <v>52</v>
      </c>
      <c r="G17" s="22"/>
      <c r="H17" s="22">
        <v>32</v>
      </c>
      <c r="I17" s="22"/>
      <c r="J17" s="22">
        <v>36</v>
      </c>
      <c r="K17" s="22"/>
      <c r="L17" s="22"/>
      <c r="M17" s="22"/>
      <c r="N17" s="22">
        <v>72</v>
      </c>
      <c r="O17" s="22">
        <v>72</v>
      </c>
      <c r="P17" s="22"/>
      <c r="Q17" s="22">
        <v>85</v>
      </c>
      <c r="R17" s="22">
        <v>75</v>
      </c>
      <c r="S17" s="20">
        <f t="shared" si="1"/>
        <v>619582.12</v>
      </c>
      <c r="T17" s="21">
        <f t="shared" si="3"/>
        <v>24.904610098556127</v>
      </c>
      <c r="U17" s="33">
        <v>0</v>
      </c>
      <c r="V17" s="22">
        <v>87</v>
      </c>
      <c r="W17" s="22"/>
      <c r="X17" s="23">
        <v>100</v>
      </c>
      <c r="Y17" s="20">
        <f t="shared" si="2"/>
        <v>964699.91999999993</v>
      </c>
      <c r="Z17" s="25">
        <f t="shared" si="0"/>
        <v>20.875907897572795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2</v>
      </c>
      <c r="V18" s="22"/>
      <c r="W18" s="22"/>
      <c r="X18" s="23"/>
      <c r="Y18" s="20">
        <f t="shared" si="2"/>
        <v>34958.22</v>
      </c>
      <c r="Z18" s="25">
        <f t="shared" si="0"/>
        <v>0.7564886923418499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12</v>
      </c>
      <c r="V19" s="22"/>
      <c r="W19" s="22"/>
      <c r="X19" s="23"/>
      <c r="Y19" s="20">
        <f t="shared" si="2"/>
        <v>209749.31999999998</v>
      </c>
      <c r="Z19" s="25">
        <f t="shared" si="0"/>
        <v>4.538932154051099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2</v>
      </c>
      <c r="V20" s="22"/>
      <c r="W20" s="22"/>
      <c r="X20" s="23"/>
      <c r="Y20" s="20">
        <f t="shared" si="2"/>
        <v>34958.22</v>
      </c>
      <c r="Z20" s="25">
        <f t="shared" si="0"/>
        <v>0.7564886923418499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1</v>
      </c>
      <c r="V22" s="22"/>
      <c r="W22" s="22"/>
      <c r="X22" s="23"/>
      <c r="Y22" s="20">
        <f t="shared" si="2"/>
        <v>17479.11</v>
      </c>
      <c r="Z22" s="25">
        <f t="shared" si="0"/>
        <v>0.37824434617092495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8</v>
      </c>
      <c r="V23" s="22"/>
      <c r="W23" s="22"/>
      <c r="X23" s="23"/>
      <c r="Y23" s="20">
        <f t="shared" si="2"/>
        <v>139832.88</v>
      </c>
      <c r="Z23" s="25">
        <f t="shared" si="0"/>
        <v>3.0259547693673996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9</v>
      </c>
      <c r="V24" s="22"/>
      <c r="W24" s="22"/>
      <c r="X24" s="23"/>
      <c r="Y24" s="20">
        <f t="shared" si="2"/>
        <v>157311.99</v>
      </c>
      <c r="Z24" s="25">
        <f t="shared" si="0"/>
        <v>3.4041991155383244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9</v>
      </c>
      <c r="V25" s="22"/>
      <c r="W25" s="22"/>
      <c r="X25" s="23"/>
      <c r="Y25" s="20">
        <f t="shared" si="2"/>
        <v>157311.99</v>
      </c>
      <c r="Z25" s="25">
        <f t="shared" si="0"/>
        <v>3.4041991155383244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>
        <v>5</v>
      </c>
      <c r="V26" s="22"/>
      <c r="W26" s="22"/>
      <c r="X26" s="23"/>
      <c r="Y26" s="20">
        <f t="shared" si="2"/>
        <v>87395.55</v>
      </c>
      <c r="Z26" s="25">
        <f t="shared" si="0"/>
        <v>1.8912217308546246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19</v>
      </c>
      <c r="V27" s="22"/>
      <c r="W27" s="22"/>
      <c r="X27" s="23"/>
      <c r="Y27" s="20">
        <f t="shared" si="2"/>
        <v>332103.09000000003</v>
      </c>
      <c r="Z27" s="25">
        <f t="shared" si="0"/>
        <v>7.186642577247575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3</v>
      </c>
      <c r="V28" s="22"/>
      <c r="W28" s="22"/>
      <c r="X28" s="23"/>
      <c r="Y28" s="20">
        <f t="shared" si="2"/>
        <v>52437.329999999994</v>
      </c>
      <c r="Z28" s="25">
        <f t="shared" si="0"/>
        <v>1.1347330385127747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>
        <v>0</v>
      </c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4</v>
      </c>
      <c r="V29" s="38"/>
      <c r="W29" s="38"/>
      <c r="X29" s="41"/>
      <c r="Y29" s="39">
        <f t="shared" si="2"/>
        <v>69916.44</v>
      </c>
      <c r="Z29" s="42">
        <f t="shared" si="0"/>
        <v>1.5129773846836998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100</v>
      </c>
      <c r="S30" s="20">
        <f>+SUM(S6:S29)</f>
        <v>2487821</v>
      </c>
      <c r="T30" s="20">
        <f>+SUM(T6:T29)</f>
        <v>100</v>
      </c>
      <c r="U30" s="44">
        <f>SUM(U6:U29)</f>
        <v>100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4621116.0000000009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187012</v>
      </c>
      <c r="D31" s="47">
        <v>277</v>
      </c>
      <c r="E31" s="47">
        <v>165390</v>
      </c>
      <c r="F31" s="47">
        <v>194656</v>
      </c>
      <c r="G31" s="47">
        <v>716015</v>
      </c>
      <c r="H31" s="47">
        <v>53434</v>
      </c>
      <c r="I31" s="47">
        <v>0</v>
      </c>
      <c r="J31" s="47">
        <v>971209</v>
      </c>
      <c r="K31" s="47">
        <v>0</v>
      </c>
      <c r="L31" s="47">
        <v>0</v>
      </c>
      <c r="M31" s="47">
        <v>0</v>
      </c>
      <c r="N31" s="47">
        <v>9609</v>
      </c>
      <c r="O31" s="47">
        <v>128665</v>
      </c>
      <c r="P31" s="47">
        <v>0</v>
      </c>
      <c r="Q31" s="47">
        <v>59041</v>
      </c>
      <c r="R31" s="47">
        <v>2513</v>
      </c>
      <c r="S31" s="48">
        <f>SUM(C31:R31)</f>
        <v>2487821</v>
      </c>
      <c r="T31" s="48">
        <f>S31*100/$S$31</f>
        <v>100</v>
      </c>
      <c r="U31" s="47">
        <v>1747911</v>
      </c>
      <c r="V31" s="47">
        <v>309740</v>
      </c>
      <c r="W31" s="47">
        <v>0</v>
      </c>
      <c r="X31" s="47">
        <v>75644</v>
      </c>
      <c r="Y31" s="48">
        <f>+S31+U31+V31+W31+X31</f>
        <v>4621116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4" x14ac:dyDescent="0.25">
      <c r="A33" s="55"/>
      <c r="S33" s="1"/>
    </row>
    <row r="34" spans="1:24" x14ac:dyDescent="0.25">
      <c r="A34" s="56" t="s">
        <v>53</v>
      </c>
      <c r="B34" s="57"/>
      <c r="C34" s="57"/>
      <c r="D34" s="57"/>
      <c r="E34" s="57"/>
      <c r="F34" s="58"/>
      <c r="G34" s="10"/>
    </row>
    <row r="35" spans="1:24" x14ac:dyDescent="0.25">
      <c r="A35" s="59" t="s">
        <v>54</v>
      </c>
      <c r="B35" s="22"/>
      <c r="C35" s="22"/>
      <c r="D35" s="22"/>
      <c r="E35" s="22"/>
      <c r="F35" s="23"/>
      <c r="G35" s="10"/>
    </row>
    <row r="36" spans="1:24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4" x14ac:dyDescent="0.25">
      <c r="A37" s="11" t="s">
        <v>57</v>
      </c>
      <c r="B37" s="38"/>
      <c r="C37" s="38"/>
      <c r="D37" s="38"/>
      <c r="E37" s="38"/>
      <c r="F37" s="41"/>
      <c r="G37" s="10"/>
    </row>
    <row r="38" spans="1:24" x14ac:dyDescent="0.25">
      <c r="A38" t="s">
        <v>58</v>
      </c>
      <c r="G38" s="10"/>
    </row>
    <row r="39" spans="1:24" ht="18.75" x14ac:dyDescent="0.3">
      <c r="A39" s="60"/>
      <c r="B39" s="61"/>
      <c r="G39" s="10"/>
      <c r="X39" s="81"/>
    </row>
    <row r="40" spans="1:24" ht="18.75" x14ac:dyDescent="0.3">
      <c r="A40" s="60"/>
      <c r="B40" s="61"/>
    </row>
    <row r="41" spans="1:24" ht="18.75" x14ac:dyDescent="0.3">
      <c r="B41" s="61"/>
      <c r="X41" s="81"/>
    </row>
    <row r="42" spans="1:24" x14ac:dyDescent="0.25">
      <c r="A42" s="10" t="s">
        <v>96</v>
      </c>
      <c r="C42" s="62" t="s">
        <v>97</v>
      </c>
      <c r="D42" s="62"/>
      <c r="E42" s="62"/>
    </row>
    <row r="43" spans="1:24" x14ac:dyDescent="0.25">
      <c r="A43" s="62" t="s">
        <v>209</v>
      </c>
      <c r="B43" s="62"/>
      <c r="C43" s="63">
        <v>4621115</v>
      </c>
      <c r="D43" s="229"/>
      <c r="E43" s="229"/>
      <c r="F43" s="64"/>
      <c r="G43" s="64"/>
    </row>
    <row r="44" spans="1:24" ht="18.75" x14ac:dyDescent="0.3">
      <c r="A44" s="60"/>
      <c r="B44" s="61"/>
    </row>
    <row r="45" spans="1:24" ht="18.75" x14ac:dyDescent="0.3">
      <c r="A45" s="60"/>
      <c r="B45" s="61"/>
      <c r="C45">
        <v>187012</v>
      </c>
      <c r="D45">
        <v>277</v>
      </c>
      <c r="E45">
        <v>165390</v>
      </c>
      <c r="F45">
        <v>194656</v>
      </c>
      <c r="G45">
        <v>716015</v>
      </c>
      <c r="H45">
        <v>53434</v>
      </c>
      <c r="I45">
        <v>0</v>
      </c>
      <c r="J45">
        <v>971209</v>
      </c>
      <c r="K45">
        <v>0</v>
      </c>
      <c r="L45">
        <v>0</v>
      </c>
      <c r="M45">
        <v>0</v>
      </c>
      <c r="N45">
        <v>9609</v>
      </c>
      <c r="O45">
        <v>128665</v>
      </c>
      <c r="P45">
        <v>0</v>
      </c>
      <c r="Q45">
        <v>59041</v>
      </c>
      <c r="R45">
        <v>2513</v>
      </c>
      <c r="U45">
        <v>1747911</v>
      </c>
      <c r="V45">
        <v>309740</v>
      </c>
      <c r="W45">
        <v>0</v>
      </c>
      <c r="X45">
        <v>75644</v>
      </c>
    </row>
    <row r="46" spans="1:24" ht="18.75" x14ac:dyDescent="0.3">
      <c r="A46" s="142"/>
      <c r="B46" s="65"/>
    </row>
    <row r="47" spans="1:24" ht="18.75" x14ac:dyDescent="0.3">
      <c r="A47" s="60"/>
      <c r="B47" s="65"/>
    </row>
  </sheetData>
  <mergeCells count="3">
    <mergeCell ref="A1:Z2"/>
    <mergeCell ref="S4:T4"/>
    <mergeCell ref="Y4:Z4"/>
  </mergeCells>
  <pageMargins left="0.28000000000000003" right="0.23" top="0.74803149606299213" bottom="0.74803149606299213" header="0.31496062992125984" footer="0.31496062992125984"/>
  <pageSetup paperSize="9" scale="5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4.140625" customWidth="1"/>
    <col min="2" max="2" width="7.28515625" customWidth="1"/>
    <col min="3" max="3" width="9.42578125" customWidth="1"/>
    <col min="4" max="4" width="12.5703125" customWidth="1"/>
    <col min="5" max="5" width="12.7109375" customWidth="1"/>
    <col min="6" max="6" width="11.28515625" customWidth="1"/>
    <col min="7" max="7" width="9.42578125" customWidth="1"/>
    <col min="8" max="8" width="9.42578125" bestFit="1" customWidth="1"/>
    <col min="9" max="9" width="12.42578125" customWidth="1"/>
    <col min="10" max="10" width="10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9.140625" bestFit="1" customWidth="1"/>
    <col min="16" max="16" width="7" bestFit="1" customWidth="1"/>
    <col min="17" max="17" width="7.28515625" bestFit="1" customWidth="1"/>
    <col min="18" max="18" width="6.42578125" bestFit="1" customWidth="1"/>
    <col min="19" max="19" width="9.42578125" customWidth="1"/>
    <col min="20" max="20" width="6.28515625" customWidth="1"/>
    <col min="21" max="21" width="10.85546875" customWidth="1"/>
    <col min="22" max="22" width="11.140625" customWidth="1"/>
    <col min="23" max="23" width="8.28515625" customWidth="1"/>
    <col min="24" max="24" width="11.85546875" customWidth="1"/>
    <col min="25" max="25" width="9.14062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127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47" t="s">
        <v>1</v>
      </c>
      <c r="C4" s="147" t="s">
        <v>2</v>
      </c>
      <c r="D4" s="5" t="s">
        <v>3</v>
      </c>
      <c r="E4" s="5" t="s">
        <v>4</v>
      </c>
      <c r="F4" s="5" t="s">
        <v>102</v>
      </c>
      <c r="G4" s="148" t="s">
        <v>6</v>
      </c>
      <c r="H4" s="148" t="s">
        <v>7</v>
      </c>
      <c r="I4" s="5" t="s">
        <v>101</v>
      </c>
      <c r="J4" s="148" t="s">
        <v>9</v>
      </c>
      <c r="K4" s="148" t="s">
        <v>10</v>
      </c>
      <c r="L4" s="148" t="s">
        <v>11</v>
      </c>
      <c r="M4" s="148" t="s">
        <v>12</v>
      </c>
      <c r="N4" s="148" t="s">
        <v>13</v>
      </c>
      <c r="O4" s="5" t="s">
        <v>14</v>
      </c>
      <c r="P4" s="148" t="s">
        <v>15</v>
      </c>
      <c r="Q4" s="148" t="s">
        <v>16</v>
      </c>
      <c r="R4" s="148" t="s">
        <v>17</v>
      </c>
      <c r="S4" s="327" t="s">
        <v>18</v>
      </c>
      <c r="T4" s="328"/>
      <c r="U4" s="147" t="s">
        <v>19</v>
      </c>
      <c r="V4" s="148" t="s">
        <v>20</v>
      </c>
      <c r="W4" s="7" t="s">
        <v>21</v>
      </c>
      <c r="X4" s="7" t="s">
        <v>22</v>
      </c>
      <c r="Y4" s="329" t="s">
        <v>23</v>
      </c>
      <c r="Z4" s="330"/>
      <c r="AA4" s="144"/>
      <c r="AB4" s="144"/>
      <c r="AC4" s="144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45" t="s">
        <v>25</v>
      </c>
      <c r="U5" s="145" t="s">
        <v>25</v>
      </c>
      <c r="V5" s="145" t="s">
        <v>25</v>
      </c>
      <c r="W5" s="145" t="s">
        <v>25</v>
      </c>
      <c r="X5" s="14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10</v>
      </c>
      <c r="K6" s="19"/>
      <c r="L6" s="19"/>
      <c r="M6" s="19"/>
      <c r="N6" s="19">
        <v>15</v>
      </c>
      <c r="O6" s="19"/>
      <c r="P6" s="19"/>
      <c r="Q6" s="19">
        <v>15</v>
      </c>
      <c r="R6" s="19">
        <v>15</v>
      </c>
      <c r="S6" s="24">
        <f>C6/100*$C$31+D6/100*$D$31+E6/100*$E$31+F6/100*$F$31+G6/100*$G$31+H6/100*$H$31+I6/100*$I$31+J6/100*$J$31+K6/100*$K$31+L6/100*$L$31+M6/100*$M$31+N6/100*$N$31+O6/100*$O$31+P6/100*$P$31+Q6/100*$Q$31+R6/100*$R$31</f>
        <v>17861.600000000002</v>
      </c>
      <c r="T6" s="140">
        <f>S6*100/$S$31</f>
        <v>8.3528652531355529</v>
      </c>
      <c r="U6" s="22"/>
      <c r="V6" s="22"/>
      <c r="W6" s="22"/>
      <c r="X6" s="23"/>
      <c r="Y6" s="24">
        <f>U6/100*$U$31+V6/100*$V$31+W6/100*$W$31+X6/100*$X$31+S6</f>
        <v>17861.600000000002</v>
      </c>
      <c r="Z6" s="25">
        <f t="shared" ref="Z6:Z29" si="0">Y6*100/$Y$31</f>
        <v>3.7491289198606275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>
        <v>50</v>
      </c>
      <c r="D8" s="22"/>
      <c r="E8" s="22"/>
      <c r="F8" s="22"/>
      <c r="G8" s="22"/>
      <c r="H8" s="22"/>
      <c r="I8" s="22"/>
      <c r="J8" s="22">
        <v>10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16884.2</v>
      </c>
      <c r="T8" s="21">
        <f t="shared" si="2"/>
        <v>7.8957902711398349</v>
      </c>
      <c r="U8" s="22"/>
      <c r="V8" s="22"/>
      <c r="W8" s="22"/>
      <c r="X8" s="23"/>
      <c r="Y8" s="20">
        <f t="shared" si="3"/>
        <v>16884.2</v>
      </c>
      <c r="Z8" s="25">
        <f t="shared" si="0"/>
        <v>3.5439738046261704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>C11/100*$C$31+D11/100*$D$31+E11/100*$E$31+F11/100*$F$31+G11/100*$G$31+H11/100*$H$31+I11/100*$I$31+J11/100*$J$31+K11/100*$K$31+L11/100*$L$31+M11/100*$M$31+N11/100*$N$31+O11/100*$O$31+P11/100*$P$31+Q11/100*$Q$31+R11/100*$R$31</f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50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99</v>
      </c>
      <c r="T15" s="21">
        <f t="shared" si="2"/>
        <v>4.6296729299750275E-2</v>
      </c>
      <c r="U15" s="22"/>
      <c r="V15" s="33"/>
      <c r="W15" s="33"/>
      <c r="X15" s="23"/>
      <c r="Y15" s="20">
        <f t="shared" si="3"/>
        <v>99</v>
      </c>
      <c r="Z15" s="25">
        <f t="shared" si="0"/>
        <v>2.0779984047689014E-2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38612</v>
      </c>
      <c r="T16" s="21">
        <f t="shared" si="2"/>
        <v>18.05665971436321</v>
      </c>
      <c r="U16" s="22"/>
      <c r="V16" s="33"/>
      <c r="W16" s="33"/>
      <c r="X16" s="23"/>
      <c r="Y16" s="20">
        <f t="shared" si="3"/>
        <v>38612</v>
      </c>
      <c r="Z16" s="25">
        <f t="shared" si="0"/>
        <v>8.104613576256245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85</v>
      </c>
      <c r="G17" s="22"/>
      <c r="H17" s="22">
        <v>85</v>
      </c>
      <c r="I17" s="22"/>
      <c r="J17" s="22">
        <v>80</v>
      </c>
      <c r="K17" s="22"/>
      <c r="L17" s="22"/>
      <c r="M17" s="22"/>
      <c r="N17" s="22">
        <v>85</v>
      </c>
      <c r="O17" s="22"/>
      <c r="P17" s="22"/>
      <c r="Q17" s="22">
        <v>85</v>
      </c>
      <c r="R17" s="22">
        <v>85</v>
      </c>
      <c r="S17" s="20">
        <f t="shared" si="1"/>
        <v>140381.20000000001</v>
      </c>
      <c r="T17" s="21">
        <f t="shared" si="2"/>
        <v>65.648388032061661</v>
      </c>
      <c r="U17" s="33">
        <v>2</v>
      </c>
      <c r="V17" s="22">
        <v>100</v>
      </c>
      <c r="W17" s="22"/>
      <c r="X17" s="23">
        <v>100</v>
      </c>
      <c r="Y17" s="20">
        <f t="shared" si="3"/>
        <v>227155.12</v>
      </c>
      <c r="Z17" s="25">
        <f t="shared" si="0"/>
        <v>47.679593635867512</v>
      </c>
    </row>
    <row r="18" spans="1:27" x14ac:dyDescent="0.25">
      <c r="A18" s="35" t="s">
        <v>38</v>
      </c>
      <c r="B18" s="149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6</v>
      </c>
      <c r="V18" s="22"/>
      <c r="W18" s="22"/>
      <c r="X18" s="23"/>
      <c r="Y18" s="20">
        <f t="shared" si="3"/>
        <v>10763.76</v>
      </c>
      <c r="Z18" s="25">
        <f t="shared" si="0"/>
        <v>2.2593006171025567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15</v>
      </c>
      <c r="V19" s="22"/>
      <c r="W19" s="22"/>
      <c r="X19" s="23"/>
      <c r="Y19" s="20">
        <f t="shared" si="3"/>
        <v>26909.399999999998</v>
      </c>
      <c r="Z19" s="25">
        <f t="shared" si="0"/>
        <v>5.6482515427563911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/>
      <c r="V20" s="22"/>
      <c r="W20" s="22"/>
      <c r="X20" s="23"/>
      <c r="Y20" s="20">
        <f t="shared" si="3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0.72</v>
      </c>
      <c r="V21" s="22"/>
      <c r="W21" s="22"/>
      <c r="X21" s="23"/>
      <c r="Y21" s="20">
        <f t="shared" si="3"/>
        <v>1291.6512</v>
      </c>
      <c r="Z21" s="25">
        <f t="shared" si="0"/>
        <v>0.27111607405230675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15</v>
      </c>
      <c r="V23" s="22"/>
      <c r="W23" s="22"/>
      <c r="X23" s="23"/>
      <c r="Y23" s="20">
        <f>U23/100*$U$31+V23/100*$V$31+W23/100*$W$31+X23/100*$X$31+S23</f>
        <v>26909.399999999998</v>
      </c>
      <c r="Z23" s="25">
        <f t="shared" si="0"/>
        <v>5.6482515427563911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/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15</v>
      </c>
      <c r="V25" s="22"/>
      <c r="W25" s="22"/>
      <c r="X25" s="23"/>
      <c r="Y25" s="20">
        <f t="shared" si="3"/>
        <v>26909.399999999998</v>
      </c>
      <c r="Z25" s="25">
        <f t="shared" si="0"/>
        <v>5.6482515427563911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30</v>
      </c>
      <c r="V27" s="22"/>
      <c r="W27" s="22"/>
      <c r="X27" s="23"/>
      <c r="Y27" s="20">
        <f t="shared" si="3"/>
        <v>53818.799999999996</v>
      </c>
      <c r="Z27" s="25">
        <f t="shared" si="0"/>
        <v>11.296503085512782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15</v>
      </c>
      <c r="V28" s="22"/>
      <c r="W28" s="22"/>
      <c r="X28" s="23"/>
      <c r="Y28" s="20">
        <f t="shared" si="3"/>
        <v>26909.399999999998</v>
      </c>
      <c r="Z28" s="25">
        <f t="shared" si="0"/>
        <v>5.6482515427563911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162">
        <v>1.2800000000000011</v>
      </c>
      <c r="V29" s="38"/>
      <c r="W29" s="38"/>
      <c r="X29" s="41"/>
      <c r="Y29" s="39">
        <f t="shared" si="3"/>
        <v>2296.2688000000021</v>
      </c>
      <c r="Z29" s="42">
        <f t="shared" si="0"/>
        <v>0.48198413164854587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100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100</v>
      </c>
      <c r="S30" s="20">
        <f>+SUM(S6:S29)</f>
        <v>213838</v>
      </c>
      <c r="T30" s="20">
        <f>+SUM(T6:T29)</f>
        <v>100.00000000000001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476420.00000000012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198</v>
      </c>
      <c r="D31" s="47">
        <v>0</v>
      </c>
      <c r="E31" s="47">
        <v>11819</v>
      </c>
      <c r="F31" s="47">
        <v>1087</v>
      </c>
      <c r="G31" s="47">
        <v>26793</v>
      </c>
      <c r="H31" s="47">
        <v>238</v>
      </c>
      <c r="I31" s="47">
        <v>0</v>
      </c>
      <c r="J31" s="47">
        <v>167852</v>
      </c>
      <c r="K31" s="47">
        <v>0</v>
      </c>
      <c r="L31" s="47">
        <v>0</v>
      </c>
      <c r="M31" s="47">
        <v>0</v>
      </c>
      <c r="N31" s="47">
        <v>2781</v>
      </c>
      <c r="O31" s="47">
        <v>0</v>
      </c>
      <c r="P31" s="47">
        <v>0</v>
      </c>
      <c r="Q31" s="47">
        <v>2395</v>
      </c>
      <c r="R31" s="47">
        <v>675</v>
      </c>
      <c r="S31" s="48">
        <f>SUM(C31:R31)</f>
        <v>213838</v>
      </c>
      <c r="T31" s="48">
        <f>S31*100/$S$31</f>
        <v>100</v>
      </c>
      <c r="U31" s="47">
        <v>179396</v>
      </c>
      <c r="V31" s="47">
        <v>40845</v>
      </c>
      <c r="W31" s="47">
        <v>0</v>
      </c>
      <c r="X31" s="47">
        <v>42341</v>
      </c>
      <c r="Y31" s="48">
        <f>+S31+U31+V31+W31+X31</f>
        <v>476420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V34" s="163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  <c r="V35" s="163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V36" s="163"/>
      <c r="X36" s="81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  <c r="V37" s="163"/>
      <c r="X37" s="163"/>
    </row>
    <row r="38" spans="1:25" x14ac:dyDescent="0.25">
      <c r="A38" t="s">
        <v>58</v>
      </c>
      <c r="G38" s="10"/>
      <c r="V38" s="163"/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128</v>
      </c>
      <c r="B43" s="62"/>
      <c r="C43" s="63">
        <v>476419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198</v>
      </c>
      <c r="D45">
        <v>0</v>
      </c>
      <c r="E45">
        <v>11819</v>
      </c>
      <c r="F45">
        <v>1087</v>
      </c>
      <c r="G45">
        <v>26793</v>
      </c>
      <c r="H45">
        <v>238</v>
      </c>
      <c r="I45">
        <v>0</v>
      </c>
      <c r="J45">
        <v>167852</v>
      </c>
      <c r="K45">
        <v>0</v>
      </c>
      <c r="L45">
        <v>0</v>
      </c>
      <c r="M45">
        <v>0</v>
      </c>
      <c r="N45">
        <v>2781</v>
      </c>
      <c r="O45">
        <v>0</v>
      </c>
      <c r="P45">
        <v>0</v>
      </c>
      <c r="Q45">
        <v>2395</v>
      </c>
      <c r="R45">
        <v>675</v>
      </c>
      <c r="U45">
        <v>179396</v>
      </c>
      <c r="V45">
        <v>40845</v>
      </c>
      <c r="W45">
        <v>0</v>
      </c>
      <c r="X45">
        <v>42341</v>
      </c>
      <c r="Y45">
        <v>476420</v>
      </c>
    </row>
  </sheetData>
  <mergeCells count="3">
    <mergeCell ref="A1:Z2"/>
    <mergeCell ref="S4:T4"/>
    <mergeCell ref="Y4:Z4"/>
  </mergeCells>
  <pageMargins left="0.25" right="0.2" top="0.74803149606299213" bottom="0.74803149606299213" header="0.31496062992125984" footer="0.31496062992125984"/>
  <pageSetup paperSize="9" scale="5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C48"/>
  <sheetViews>
    <sheetView zoomScale="90" zoomScaleNormal="90" workbookViewId="0">
      <selection activeCell="V45" sqref="V45"/>
    </sheetView>
  </sheetViews>
  <sheetFormatPr defaultRowHeight="15" x14ac:dyDescent="0.25"/>
  <cols>
    <col min="1" max="1" width="31" customWidth="1"/>
    <col min="2" max="2" width="7.28515625" customWidth="1"/>
    <col min="3" max="3" width="8.85546875" customWidth="1"/>
    <col min="4" max="5" width="12.7109375" customWidth="1"/>
    <col min="6" max="6" width="9.7109375" customWidth="1"/>
    <col min="7" max="7" width="8.140625" bestFit="1" customWidth="1"/>
    <col min="8" max="8" width="8.28515625" bestFit="1" customWidth="1"/>
    <col min="9" max="9" width="10.85546875" customWidth="1"/>
    <col min="10" max="10" width="9.140625" bestFit="1" customWidth="1"/>
    <col min="11" max="11" width="6.85546875" customWidth="1"/>
    <col min="12" max="12" width="7" customWidth="1"/>
    <col min="13" max="13" width="6.5703125" customWidth="1"/>
    <col min="14" max="14" width="7.7109375" customWidth="1"/>
    <col min="15" max="15" width="9.42578125" customWidth="1"/>
    <col min="16" max="16" width="7" bestFit="1" customWidth="1"/>
    <col min="17" max="17" width="7.28515625" bestFit="1" customWidth="1"/>
    <col min="18" max="18" width="6.85546875" customWidth="1"/>
    <col min="19" max="19" width="10" customWidth="1"/>
    <col min="20" max="20" width="6.7109375" customWidth="1"/>
    <col min="21" max="22" width="11" customWidth="1"/>
    <col min="23" max="23" width="9.85546875" customWidth="1"/>
    <col min="24" max="24" width="12.28515625" customWidth="1"/>
    <col min="25" max="25" width="11.42578125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235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33" t="s">
        <v>1</v>
      </c>
      <c r="C4" s="233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34" t="s">
        <v>15</v>
      </c>
      <c r="Q4" s="234" t="s">
        <v>16</v>
      </c>
      <c r="R4" s="234" t="s">
        <v>17</v>
      </c>
      <c r="S4" s="327" t="s">
        <v>18</v>
      </c>
      <c r="T4" s="328"/>
      <c r="U4" s="233" t="s">
        <v>19</v>
      </c>
      <c r="V4" s="234" t="s">
        <v>20</v>
      </c>
      <c r="W4" s="7" t="s">
        <v>21</v>
      </c>
      <c r="X4" s="7" t="s">
        <v>22</v>
      </c>
      <c r="Y4" s="329" t="s">
        <v>23</v>
      </c>
      <c r="Z4" s="330"/>
      <c r="AA4" s="230"/>
      <c r="AB4" s="230"/>
      <c r="AC4" s="230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31" t="s">
        <v>25</v>
      </c>
      <c r="U5" s="231" t="s">
        <v>25</v>
      </c>
      <c r="V5" s="231" t="s">
        <v>25</v>
      </c>
      <c r="W5" s="231" t="s">
        <v>25</v>
      </c>
      <c r="X5" s="23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20</v>
      </c>
      <c r="G6" s="19"/>
      <c r="H6" s="19">
        <v>15</v>
      </c>
      <c r="I6" s="19"/>
      <c r="J6" s="19">
        <v>15</v>
      </c>
      <c r="K6" s="19"/>
      <c r="L6" s="19"/>
      <c r="M6" s="19"/>
      <c r="N6" s="19">
        <v>25</v>
      </c>
      <c r="O6" s="19">
        <v>25</v>
      </c>
      <c r="P6" s="19"/>
      <c r="Q6" s="19">
        <v>25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35074.75</v>
      </c>
      <c r="T6" s="21">
        <f t="shared" ref="T6:T29" si="0">S6*100/$S$31</f>
        <v>10.374689422621865</v>
      </c>
      <c r="U6" s="22"/>
      <c r="V6" s="22"/>
      <c r="W6" s="22"/>
      <c r="X6" s="23"/>
      <c r="Y6" s="24">
        <f>U6/100*$U$31+V6/100*$V$31+W6/100*$W$31+X6/100*$X$31+S6</f>
        <v>35074.75</v>
      </c>
      <c r="Z6" s="25">
        <f t="shared" ref="Z6:Z29" si="1">Y6*100/$Y$31</f>
        <v>3.269208542971175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2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si="0"/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1"/>
        <v>0</v>
      </c>
    </row>
    <row r="8" spans="1:29" x14ac:dyDescent="0.25">
      <c r="A8" s="3" t="s">
        <v>28</v>
      </c>
      <c r="B8" s="27" t="s">
        <v>25</v>
      </c>
      <c r="C8" s="22">
        <v>7</v>
      </c>
      <c r="D8" s="22"/>
      <c r="E8" s="22"/>
      <c r="F8" s="22"/>
      <c r="G8" s="22"/>
      <c r="H8" s="22"/>
      <c r="I8" s="22"/>
      <c r="J8" s="22">
        <v>7</v>
      </c>
      <c r="K8" s="22"/>
      <c r="L8" s="22"/>
      <c r="M8" s="22"/>
      <c r="N8" s="22"/>
      <c r="O8" s="22"/>
      <c r="P8" s="22"/>
      <c r="Q8" s="22"/>
      <c r="R8" s="22"/>
      <c r="S8" s="20">
        <f t="shared" si="2"/>
        <v>13831.650000000001</v>
      </c>
      <c r="T8" s="21">
        <f t="shared" si="0"/>
        <v>4.0912358021770006</v>
      </c>
      <c r="U8" s="22"/>
      <c r="V8" s="22"/>
      <c r="W8" s="22"/>
      <c r="X8" s="23"/>
      <c r="Y8" s="20">
        <f t="shared" si="3"/>
        <v>13831.650000000001</v>
      </c>
      <c r="Z8" s="25">
        <f t="shared" si="1"/>
        <v>1.2892051502401944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2"/>
        <v>0</v>
      </c>
      <c r="T9" s="21">
        <f t="shared" si="0"/>
        <v>0</v>
      </c>
      <c r="U9" s="22"/>
      <c r="V9" s="22"/>
      <c r="W9" s="22"/>
      <c r="X9" s="23"/>
      <c r="Y9" s="20">
        <f t="shared" si="3"/>
        <v>0</v>
      </c>
      <c r="Z9" s="25">
        <f t="shared" si="1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2"/>
        <v>0</v>
      </c>
      <c r="T10" s="21">
        <f t="shared" si="0"/>
        <v>0</v>
      </c>
      <c r="U10" s="22"/>
      <c r="V10" s="22"/>
      <c r="W10" s="22"/>
      <c r="X10" s="23"/>
      <c r="Y10" s="20">
        <f t="shared" si="3"/>
        <v>0</v>
      </c>
      <c r="Z10" s="25">
        <f t="shared" si="1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2"/>
        <v>0</v>
      </c>
      <c r="T11" s="21">
        <f t="shared" si="0"/>
        <v>0</v>
      </c>
      <c r="U11" s="22"/>
      <c r="V11" s="22"/>
      <c r="W11" s="22"/>
      <c r="X11" s="23"/>
      <c r="Y11" s="20">
        <f t="shared" si="3"/>
        <v>0</v>
      </c>
      <c r="Z11" s="25">
        <f t="shared" si="1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2"/>
        <v>0</v>
      </c>
      <c r="T12" s="21">
        <f t="shared" si="0"/>
        <v>0</v>
      </c>
      <c r="U12" s="22">
        <v>7</v>
      </c>
      <c r="V12" s="22"/>
      <c r="W12" s="22"/>
      <c r="X12" s="23"/>
      <c r="Y12" s="20">
        <f>U12/100*$U$31+V12/100*$V$31+W12/100*$W$31+X12/100*$X$31+S12</f>
        <v>37287.880000000005</v>
      </c>
      <c r="Z12" s="25">
        <f t="shared" si="1"/>
        <v>3.4754875186646812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2"/>
        <v>0</v>
      </c>
      <c r="T13" s="21">
        <f t="shared" si="0"/>
        <v>0</v>
      </c>
      <c r="U13" s="22"/>
      <c r="V13" s="22"/>
      <c r="W13" s="22"/>
      <c r="X13" s="23"/>
      <c r="Y13" s="20">
        <f t="shared" si="3"/>
        <v>0</v>
      </c>
      <c r="Z13" s="25">
        <f t="shared" si="1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>
        <v>20</v>
      </c>
      <c r="K14" s="22"/>
      <c r="L14" s="22"/>
      <c r="M14" s="22"/>
      <c r="N14" s="22"/>
      <c r="O14" s="22"/>
      <c r="P14" s="22"/>
      <c r="Q14" s="22"/>
      <c r="R14" s="22"/>
      <c r="S14" s="20">
        <f t="shared" si="2"/>
        <v>39047.800000000003</v>
      </c>
      <c r="T14" s="21">
        <f t="shared" si="0"/>
        <v>11.549869853289163</v>
      </c>
      <c r="U14" s="22"/>
      <c r="V14" s="22"/>
      <c r="W14" s="22"/>
      <c r="X14" s="23"/>
      <c r="Y14" s="20">
        <f t="shared" si="3"/>
        <v>39047.800000000003</v>
      </c>
      <c r="Z14" s="25">
        <f t="shared" si="1"/>
        <v>3.6395241974420305</v>
      </c>
    </row>
    <row r="15" spans="1:29" x14ac:dyDescent="0.25">
      <c r="A15" s="35" t="s">
        <v>35</v>
      </c>
      <c r="B15" s="18" t="s">
        <v>25</v>
      </c>
      <c r="C15" s="32">
        <v>8</v>
      </c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2"/>
        <v>401.48</v>
      </c>
      <c r="T15" s="21">
        <f t="shared" si="0"/>
        <v>0.11875295787979176</v>
      </c>
      <c r="U15" s="22"/>
      <c r="V15" s="33"/>
      <c r="W15" s="33"/>
      <c r="X15" s="23"/>
      <c r="Y15" s="20">
        <f t="shared" si="3"/>
        <v>401.48</v>
      </c>
      <c r="Z15" s="25">
        <f t="shared" si="1"/>
        <v>3.7420704234016416E-2</v>
      </c>
    </row>
    <row r="16" spans="1:29" x14ac:dyDescent="0.25">
      <c r="A16" s="9" t="s">
        <v>36</v>
      </c>
      <c r="B16" s="72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2"/>
        <v>112756</v>
      </c>
      <c r="T16" s="21">
        <f t="shared" si="0"/>
        <v>33.351869380028397</v>
      </c>
      <c r="U16" s="22"/>
      <c r="V16" s="33"/>
      <c r="W16" s="33"/>
      <c r="X16" s="23"/>
      <c r="Y16" s="20">
        <f t="shared" si="3"/>
        <v>112756</v>
      </c>
      <c r="Z16" s="25">
        <f t="shared" si="1"/>
        <v>10.509636660881625</v>
      </c>
    </row>
    <row r="17" spans="1:27" x14ac:dyDescent="0.25">
      <c r="A17" s="43" t="s">
        <v>37</v>
      </c>
      <c r="B17" s="30" t="s">
        <v>25</v>
      </c>
      <c r="C17" s="22">
        <v>85</v>
      </c>
      <c r="D17" s="22"/>
      <c r="E17" s="22"/>
      <c r="F17" s="22">
        <v>80</v>
      </c>
      <c r="G17" s="22"/>
      <c r="H17" s="22">
        <v>85</v>
      </c>
      <c r="I17" s="22"/>
      <c r="J17" s="22">
        <v>58</v>
      </c>
      <c r="K17" s="22"/>
      <c r="L17" s="22"/>
      <c r="M17" s="22"/>
      <c r="N17" s="22">
        <v>75</v>
      </c>
      <c r="O17" s="22">
        <v>75</v>
      </c>
      <c r="P17" s="22"/>
      <c r="Q17" s="22">
        <v>75</v>
      </c>
      <c r="R17" s="22"/>
      <c r="S17" s="20">
        <f t="shared" si="2"/>
        <v>136968.32000000001</v>
      </c>
      <c r="T17" s="21">
        <f t="shared" si="0"/>
        <v>40.513582584003785</v>
      </c>
      <c r="U17" s="33"/>
      <c r="V17" s="22">
        <v>100</v>
      </c>
      <c r="W17" s="22"/>
      <c r="X17" s="23">
        <v>100</v>
      </c>
      <c r="Y17" s="20">
        <f t="shared" si="3"/>
        <v>339086.32</v>
      </c>
      <c r="Z17" s="25">
        <f t="shared" si="1"/>
        <v>31.605183049021235</v>
      </c>
    </row>
    <row r="18" spans="1:27" x14ac:dyDescent="0.25">
      <c r="A18" s="35" t="s">
        <v>38</v>
      </c>
      <c r="B18" s="235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2"/>
        <v>0</v>
      </c>
      <c r="T18" s="21">
        <f t="shared" si="0"/>
        <v>0</v>
      </c>
      <c r="U18" s="33">
        <v>3</v>
      </c>
      <c r="V18" s="22"/>
      <c r="W18" s="22"/>
      <c r="X18" s="23"/>
      <c r="Y18" s="20">
        <f t="shared" si="3"/>
        <v>15980.519999999999</v>
      </c>
      <c r="Z18" s="25">
        <f t="shared" si="1"/>
        <v>1.4894946508562916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2"/>
        <v>0</v>
      </c>
      <c r="T19" s="21">
        <f t="shared" si="0"/>
        <v>0</v>
      </c>
      <c r="U19" s="33">
        <v>15</v>
      </c>
      <c r="V19" s="22"/>
      <c r="W19" s="22"/>
      <c r="X19" s="23"/>
      <c r="Y19" s="20">
        <f t="shared" si="3"/>
        <v>79902.599999999991</v>
      </c>
      <c r="Z19" s="25">
        <f t="shared" si="1"/>
        <v>7.4474732542814577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2"/>
        <v>0</v>
      </c>
      <c r="T20" s="21">
        <f t="shared" si="0"/>
        <v>0</v>
      </c>
      <c r="U20" s="33">
        <v>1</v>
      </c>
      <c r="V20" s="22"/>
      <c r="W20" s="22"/>
      <c r="X20" s="23"/>
      <c r="Y20" s="20">
        <f t="shared" si="3"/>
        <v>5326.84</v>
      </c>
      <c r="Z20" s="25">
        <f t="shared" si="1"/>
        <v>0.49649821695209723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2"/>
        <v>0</v>
      </c>
      <c r="T21" s="21">
        <f t="shared" si="0"/>
        <v>0</v>
      </c>
      <c r="U21" s="33"/>
      <c r="V21" s="22"/>
      <c r="W21" s="22"/>
      <c r="X21" s="23"/>
      <c r="Y21" s="20">
        <f t="shared" si="3"/>
        <v>0</v>
      </c>
      <c r="Z21" s="25">
        <f t="shared" si="1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2"/>
        <v>0</v>
      </c>
      <c r="T22" s="21">
        <f t="shared" si="0"/>
        <v>0</v>
      </c>
      <c r="U22" s="33">
        <v>1</v>
      </c>
      <c r="V22" s="22"/>
      <c r="W22" s="22"/>
      <c r="X22" s="23"/>
      <c r="Y22" s="20">
        <f t="shared" si="3"/>
        <v>5326.84</v>
      </c>
      <c r="Z22" s="25">
        <f t="shared" si="1"/>
        <v>0.49649821695209723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2"/>
        <v>0</v>
      </c>
      <c r="T23" s="21">
        <f t="shared" si="0"/>
        <v>0</v>
      </c>
      <c r="U23" s="33">
        <v>13</v>
      </c>
      <c r="V23" s="22"/>
      <c r="W23" s="22"/>
      <c r="X23" s="23"/>
      <c r="Y23" s="20">
        <f t="shared" si="3"/>
        <v>69248.92</v>
      </c>
      <c r="Z23" s="25">
        <f t="shared" si="1"/>
        <v>6.4544768203772644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2"/>
        <v>0</v>
      </c>
      <c r="T24" s="21">
        <f t="shared" si="0"/>
        <v>0</v>
      </c>
      <c r="U24" s="22">
        <v>10</v>
      </c>
      <c r="V24" s="22"/>
      <c r="W24" s="22"/>
      <c r="X24" s="23"/>
      <c r="Y24" s="20">
        <f t="shared" si="3"/>
        <v>53268.4</v>
      </c>
      <c r="Z24" s="25">
        <f t="shared" si="1"/>
        <v>4.9649821695209724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2"/>
        <v>0</v>
      </c>
      <c r="T25" s="21">
        <f t="shared" si="0"/>
        <v>0</v>
      </c>
      <c r="U25" s="33">
        <v>14</v>
      </c>
      <c r="V25" s="22"/>
      <c r="W25" s="22"/>
      <c r="X25" s="23"/>
      <c r="Y25" s="20">
        <f t="shared" si="3"/>
        <v>74575.760000000009</v>
      </c>
      <c r="Z25" s="25">
        <f t="shared" si="1"/>
        <v>6.9509750373293624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2"/>
        <v>0</v>
      </c>
      <c r="T26" s="21">
        <f t="shared" si="0"/>
        <v>0</v>
      </c>
      <c r="U26" s="22">
        <v>4</v>
      </c>
      <c r="V26" s="22"/>
      <c r="W26" s="22"/>
      <c r="X26" s="23"/>
      <c r="Y26" s="20">
        <f t="shared" si="3"/>
        <v>21307.360000000001</v>
      </c>
      <c r="Z26" s="25">
        <f t="shared" si="1"/>
        <v>1.9859928678083889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2"/>
        <v>0</v>
      </c>
      <c r="T27" s="21">
        <f t="shared" si="0"/>
        <v>0</v>
      </c>
      <c r="U27" s="33">
        <v>27</v>
      </c>
      <c r="V27" s="22"/>
      <c r="W27" s="22"/>
      <c r="X27" s="23"/>
      <c r="Y27" s="20">
        <f t="shared" si="3"/>
        <v>143824.68000000002</v>
      </c>
      <c r="Z27" s="25">
        <f t="shared" si="1"/>
        <v>13.405451857706627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2"/>
        <v>0</v>
      </c>
      <c r="T28" s="21">
        <f t="shared" si="0"/>
        <v>0</v>
      </c>
      <c r="U28" s="33">
        <v>5</v>
      </c>
      <c r="V28" s="22"/>
      <c r="W28" s="22"/>
      <c r="X28" s="23"/>
      <c r="Y28" s="20">
        <f t="shared" si="3"/>
        <v>26634.2</v>
      </c>
      <c r="Z28" s="25">
        <f t="shared" si="1"/>
        <v>2.4824910847604862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2"/>
        <v>0</v>
      </c>
      <c r="T29" s="40">
        <f t="shared" si="0"/>
        <v>0</v>
      </c>
      <c r="U29" s="38"/>
      <c r="V29" s="38"/>
      <c r="W29" s="38"/>
      <c r="X29" s="41"/>
      <c r="Y29" s="39">
        <f t="shared" si="3"/>
        <v>0</v>
      </c>
      <c r="Z29" s="42">
        <f t="shared" si="1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100</v>
      </c>
      <c r="O30" s="44">
        <f t="shared" si="4"/>
        <v>100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338080</v>
      </c>
      <c r="T30" s="20">
        <f>+SUM(T6:T29)</f>
        <v>100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1072882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2356</v>
      </c>
      <c r="D31" s="47">
        <v>213</v>
      </c>
      <c r="E31" s="47">
        <v>32917</v>
      </c>
      <c r="F31" s="47">
        <v>12456</v>
      </c>
      <c r="G31" s="47">
        <v>79839</v>
      </c>
      <c r="H31" s="47">
        <v>4673</v>
      </c>
      <c r="I31" s="47">
        <v>0</v>
      </c>
      <c r="J31" s="47">
        <v>195239</v>
      </c>
      <c r="K31" s="47">
        <v>0</v>
      </c>
      <c r="L31" s="47">
        <v>0</v>
      </c>
      <c r="M31" s="47">
        <v>0</v>
      </c>
      <c r="N31" s="47">
        <v>751</v>
      </c>
      <c r="O31" s="47">
        <v>2576</v>
      </c>
      <c r="P31" s="47">
        <v>0</v>
      </c>
      <c r="Q31" s="47">
        <v>7060</v>
      </c>
      <c r="R31" s="47">
        <v>0</v>
      </c>
      <c r="S31" s="48">
        <f>SUM(C31:R31)</f>
        <v>338080</v>
      </c>
      <c r="T31" s="48">
        <f>S31*100/$S$31</f>
        <v>100</v>
      </c>
      <c r="U31" s="47">
        <v>532684</v>
      </c>
      <c r="V31" s="47">
        <v>159729</v>
      </c>
      <c r="W31" s="47">
        <v>0</v>
      </c>
      <c r="X31" s="47">
        <v>42389</v>
      </c>
      <c r="Y31" s="48">
        <f>+S31+U31+V31+W31+X31</f>
        <v>1072882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  <c r="X39" s="8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236</v>
      </c>
      <c r="B43" s="62"/>
      <c r="C43" s="63">
        <v>453013</v>
      </c>
      <c r="D43" s="79"/>
      <c r="E43" s="79"/>
      <c r="F43" s="64"/>
      <c r="G43" s="64"/>
    </row>
    <row r="44" spans="1:25" x14ac:dyDescent="0.25">
      <c r="A44" s="62" t="s">
        <v>237</v>
      </c>
      <c r="B44" s="62"/>
      <c r="C44" s="63">
        <v>294380</v>
      </c>
      <c r="D44" s="79"/>
      <c r="E44" s="79"/>
      <c r="F44" s="64"/>
      <c r="G44" s="64"/>
    </row>
    <row r="45" spans="1:25" x14ac:dyDescent="0.25">
      <c r="A45" s="62" t="s">
        <v>238</v>
      </c>
      <c r="B45" s="62"/>
      <c r="C45" s="63">
        <v>325488</v>
      </c>
      <c r="D45" s="79"/>
      <c r="E45" s="79"/>
      <c r="F45" s="64"/>
      <c r="G45" s="64"/>
    </row>
    <row r="46" spans="1:25" ht="18.75" x14ac:dyDescent="0.3">
      <c r="A46" s="142"/>
      <c r="B46" s="65"/>
      <c r="C46">
        <f>SUM(C43:C45)</f>
        <v>1072881</v>
      </c>
      <c r="D46" s="79"/>
      <c r="E46" s="79"/>
      <c r="F46" s="64"/>
      <c r="G46" s="64"/>
    </row>
    <row r="47" spans="1:25" ht="18.75" x14ac:dyDescent="0.3">
      <c r="A47" s="60"/>
      <c r="B47" s="65"/>
    </row>
    <row r="48" spans="1:25" x14ac:dyDescent="0.25">
      <c r="C48">
        <v>2356</v>
      </c>
      <c r="D48">
        <v>213</v>
      </c>
      <c r="E48">
        <v>32917</v>
      </c>
      <c r="F48">
        <v>12456</v>
      </c>
      <c r="G48">
        <v>79839</v>
      </c>
      <c r="H48">
        <v>4673</v>
      </c>
      <c r="I48">
        <v>0</v>
      </c>
      <c r="J48">
        <v>195239</v>
      </c>
      <c r="K48">
        <v>0</v>
      </c>
      <c r="L48">
        <v>0</v>
      </c>
      <c r="M48">
        <v>0</v>
      </c>
      <c r="N48">
        <v>751</v>
      </c>
      <c r="O48">
        <v>2576</v>
      </c>
      <c r="P48">
        <v>0</v>
      </c>
      <c r="Q48">
        <v>7060</v>
      </c>
      <c r="R48">
        <v>0</v>
      </c>
      <c r="U48">
        <v>532684</v>
      </c>
      <c r="V48">
        <v>159729</v>
      </c>
      <c r="W48">
        <v>0</v>
      </c>
      <c r="X48">
        <v>42389</v>
      </c>
      <c r="Y48">
        <v>1072882</v>
      </c>
    </row>
  </sheetData>
  <mergeCells count="3">
    <mergeCell ref="A1:Z2"/>
    <mergeCell ref="S4:T4"/>
    <mergeCell ref="Y4:Z4"/>
  </mergeCells>
  <pageMargins left="0.27" right="0.34" top="0.74803149606299213" bottom="0.74803149606299213" header="0.31496062992125984" footer="0.31496062992125984"/>
  <pageSetup paperSize="9" scale="5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C67"/>
  <sheetViews>
    <sheetView zoomScale="90" zoomScaleNormal="90" workbookViewId="0">
      <selection activeCell="V41" sqref="V41"/>
    </sheetView>
  </sheetViews>
  <sheetFormatPr defaultRowHeight="15" x14ac:dyDescent="0.25"/>
  <cols>
    <col min="1" max="1" width="31.85546875" customWidth="1"/>
    <col min="2" max="2" width="7.28515625" customWidth="1"/>
    <col min="3" max="3" width="9.42578125" customWidth="1"/>
    <col min="4" max="5" width="12.7109375" customWidth="1"/>
    <col min="6" max="6" width="10.28515625" customWidth="1"/>
    <col min="7" max="7" width="8.140625" bestFit="1" customWidth="1"/>
    <col min="8" max="8" width="8.28515625" bestFit="1" customWidth="1"/>
    <col min="9" max="9" width="11.42578125" customWidth="1"/>
    <col min="10" max="10" width="9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9.85546875" customWidth="1"/>
    <col min="16" max="16" width="7" bestFit="1" customWidth="1"/>
    <col min="17" max="17" width="7.28515625" bestFit="1" customWidth="1"/>
    <col min="18" max="18" width="7" bestFit="1" customWidth="1"/>
    <col min="19" max="19" width="9.7109375" customWidth="1"/>
    <col min="20" max="20" width="6.85546875" customWidth="1"/>
    <col min="21" max="21" width="10.28515625" customWidth="1"/>
    <col min="22" max="22" width="10.42578125" customWidth="1"/>
    <col min="23" max="23" width="9.28515625" bestFit="1" customWidth="1"/>
    <col min="24" max="24" width="12.42578125" customWidth="1"/>
    <col min="25" max="25" width="10.42578125" customWidth="1"/>
    <col min="26" max="26" width="6.5703125" customWidth="1"/>
    <col min="27" max="27" width="1.85546875" customWidth="1"/>
  </cols>
  <sheetData>
    <row r="1" spans="1:29" ht="15" customHeight="1" x14ac:dyDescent="0.25">
      <c r="A1" s="325" t="s">
        <v>114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30" t="s">
        <v>1</v>
      </c>
      <c r="C4" s="130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131" t="s">
        <v>9</v>
      </c>
      <c r="K4" s="131" t="s">
        <v>10</v>
      </c>
      <c r="L4" s="131" t="s">
        <v>11</v>
      </c>
      <c r="M4" s="131" t="s">
        <v>12</v>
      </c>
      <c r="N4" s="131" t="s">
        <v>13</v>
      </c>
      <c r="O4" s="5" t="s">
        <v>14</v>
      </c>
      <c r="P4" s="131" t="s">
        <v>15</v>
      </c>
      <c r="Q4" s="131" t="s">
        <v>16</v>
      </c>
      <c r="R4" s="131" t="s">
        <v>17</v>
      </c>
      <c r="S4" s="327" t="s">
        <v>18</v>
      </c>
      <c r="T4" s="328"/>
      <c r="U4" s="130" t="s">
        <v>19</v>
      </c>
      <c r="V4" s="131" t="s">
        <v>20</v>
      </c>
      <c r="W4" s="7" t="s">
        <v>21</v>
      </c>
      <c r="X4" s="7" t="s">
        <v>22</v>
      </c>
      <c r="Y4" s="329" t="s">
        <v>23</v>
      </c>
      <c r="Z4" s="330"/>
      <c r="AA4" s="127"/>
      <c r="AB4" s="127"/>
      <c r="AC4" s="127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8" t="s">
        <v>25</v>
      </c>
      <c r="U5" s="128" t="s">
        <v>25</v>
      </c>
      <c r="V5" s="128" t="s">
        <v>25</v>
      </c>
      <c r="W5" s="128" t="s">
        <v>25</v>
      </c>
      <c r="X5" s="128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20</v>
      </c>
      <c r="G6" s="19"/>
      <c r="H6" s="19"/>
      <c r="I6" s="19"/>
      <c r="J6" s="19">
        <v>10</v>
      </c>
      <c r="K6" s="19"/>
      <c r="L6" s="19"/>
      <c r="M6" s="19"/>
      <c r="N6" s="19"/>
      <c r="O6" s="19"/>
      <c r="P6" s="19"/>
      <c r="Q6" s="19">
        <v>20</v>
      </c>
      <c r="R6" s="19">
        <v>20</v>
      </c>
      <c r="S6" s="24">
        <f>C6/100*$C$31+D6/100*$D$31+E6/100*$E$31+F6/100*$F$31+G6/100*$G$31+H6/100*$H$31+I6/100*$I$31+J6/100*$J$31+K6/100*$K$31+L6/100*$L$31+M6/100*$M$31+N6/100*$N$31+O6/100*$O$31+P6/100*$P$31+Q6/100*$Q$31+R6/100*$R$31</f>
        <v>8293</v>
      </c>
      <c r="T6" s="140">
        <f>S6*100/$S$31</f>
        <v>6.2377302574671489</v>
      </c>
      <c r="U6" s="22"/>
      <c r="V6" s="22"/>
      <c r="W6" s="22"/>
      <c r="X6" s="23"/>
      <c r="Y6" s="24">
        <f>U6/100*$U$31+V6/100*$V$31+W6/100*$W$31+X6/100*$X$31+S6</f>
        <v>8293</v>
      </c>
      <c r="Z6" s="25">
        <f t="shared" ref="Z6:Z29" si="0">Y6*100/$Y$31</f>
        <v>3.338768444149204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5</v>
      </c>
      <c r="G7" s="22"/>
      <c r="H7" s="22"/>
      <c r="I7" s="22"/>
      <c r="J7" s="22">
        <v>5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3577.9500000000003</v>
      </c>
      <c r="T7" s="21">
        <f t="shared" ref="T7:T29" si="2">S7*100/$S$31</f>
        <v>2.6912199414813198</v>
      </c>
      <c r="U7" s="22"/>
      <c r="V7" s="22"/>
      <c r="W7" s="22"/>
      <c r="X7" s="23"/>
      <c r="Y7" s="20">
        <f t="shared" ref="Y7:Y29" si="3">U7/100*$U$31+V7/100*$V$31+W7/100*$W$31+X7/100*$X$31+S7</f>
        <v>3577.9500000000003</v>
      </c>
      <c r="Z7" s="25">
        <f t="shared" si="0"/>
        <v>1.4404855365662177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5</v>
      </c>
      <c r="G8" s="22"/>
      <c r="H8" s="22"/>
      <c r="I8" s="22"/>
      <c r="J8" s="22">
        <v>5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3577.9500000000003</v>
      </c>
      <c r="T8" s="21">
        <f t="shared" si="2"/>
        <v>2.6912199414813198</v>
      </c>
      <c r="U8" s="22"/>
      <c r="V8" s="22"/>
      <c r="W8" s="22"/>
      <c r="X8" s="23"/>
      <c r="Y8" s="20">
        <f t="shared" si="3"/>
        <v>3577.9500000000003</v>
      </c>
      <c r="Z8" s="25">
        <f t="shared" si="0"/>
        <v>1.4404855365662177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>
        <v>5</v>
      </c>
      <c r="G12" s="22"/>
      <c r="H12" s="22"/>
      <c r="I12" s="22"/>
      <c r="J12" s="22">
        <v>5</v>
      </c>
      <c r="K12" s="22"/>
      <c r="L12" s="22"/>
      <c r="M12" s="22"/>
      <c r="N12" s="22"/>
      <c r="O12" s="22"/>
      <c r="P12" s="22"/>
      <c r="Q12" s="22"/>
      <c r="R12" s="22"/>
      <c r="S12" s="20">
        <f t="shared" si="1"/>
        <v>3577.9500000000003</v>
      </c>
      <c r="T12" s="21">
        <f t="shared" si="2"/>
        <v>2.6912199414813198</v>
      </c>
      <c r="U12" s="22"/>
      <c r="V12" s="22"/>
      <c r="W12" s="22"/>
      <c r="X12" s="23"/>
      <c r="Y12" s="20">
        <f t="shared" si="3"/>
        <v>3577.9500000000003</v>
      </c>
      <c r="Z12" s="25">
        <f t="shared" si="0"/>
        <v>1.4404855365662177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8912</v>
      </c>
      <c r="T15" s="21">
        <f t="shared" si="2"/>
        <v>6.7033223266064432</v>
      </c>
      <c r="U15" s="22"/>
      <c r="V15" s="33"/>
      <c r="W15" s="33"/>
      <c r="X15" s="23"/>
      <c r="Y15" s="20">
        <f t="shared" si="3"/>
        <v>8912</v>
      </c>
      <c r="Z15" s="25">
        <f t="shared" si="0"/>
        <v>3.5879783400768965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48141</v>
      </c>
      <c r="T16" s="21">
        <f t="shared" si="2"/>
        <v>36.210125687293626</v>
      </c>
      <c r="U16" s="22"/>
      <c r="V16" s="33"/>
      <c r="W16" s="33"/>
      <c r="X16" s="23"/>
      <c r="Y16" s="20">
        <f t="shared" si="3"/>
        <v>48141</v>
      </c>
      <c r="Z16" s="25">
        <f t="shared" si="0"/>
        <v>19.381605169394287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65</v>
      </c>
      <c r="G17" s="22"/>
      <c r="H17" s="22"/>
      <c r="I17" s="22"/>
      <c r="J17" s="22">
        <v>75</v>
      </c>
      <c r="K17" s="22"/>
      <c r="L17" s="22"/>
      <c r="M17" s="22"/>
      <c r="N17" s="22"/>
      <c r="O17" s="22"/>
      <c r="P17" s="22"/>
      <c r="Q17" s="22">
        <v>80</v>
      </c>
      <c r="R17" s="22">
        <v>80</v>
      </c>
      <c r="S17" s="20">
        <f t="shared" si="1"/>
        <v>56869.150000000009</v>
      </c>
      <c r="T17" s="21">
        <f t="shared" si="2"/>
        <v>42.775161904188835</v>
      </c>
      <c r="U17" s="33">
        <v>4</v>
      </c>
      <c r="V17" s="22">
        <v>100</v>
      </c>
      <c r="W17" s="22"/>
      <c r="X17" s="23">
        <v>100</v>
      </c>
      <c r="Y17" s="20">
        <f t="shared" si="3"/>
        <v>96121.47</v>
      </c>
      <c r="Z17" s="25">
        <f t="shared" si="0"/>
        <v>38.698580832175857</v>
      </c>
    </row>
    <row r="18" spans="1:27" x14ac:dyDescent="0.25">
      <c r="A18" s="35" t="s">
        <v>38</v>
      </c>
      <c r="B18" s="132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f>+X67</f>
        <v>5.4228937221200129</v>
      </c>
      <c r="V18" s="22"/>
      <c r="W18" s="22"/>
      <c r="X18" s="23"/>
      <c r="Y18" s="20">
        <f t="shared" si="3"/>
        <v>4303.5</v>
      </c>
      <c r="Z18" s="25">
        <f t="shared" si="0"/>
        <v>1.7325925478591702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14</v>
      </c>
      <c r="V19" s="22"/>
      <c r="W19" s="22"/>
      <c r="X19" s="23"/>
      <c r="Y19" s="20">
        <f t="shared" si="3"/>
        <v>11110.12</v>
      </c>
      <c r="Z19" s="25">
        <f t="shared" si="0"/>
        <v>4.4729432131569942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/>
      <c r="V20" s="22"/>
      <c r="W20" s="22"/>
      <c r="X20" s="23"/>
      <c r="Y20" s="20">
        <f t="shared" si="3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18</v>
      </c>
      <c r="V23" s="22"/>
      <c r="W23" s="22"/>
      <c r="X23" s="23"/>
      <c r="Y23" s="20">
        <f t="shared" si="3"/>
        <v>14284.439999999999</v>
      </c>
      <c r="Z23" s="25">
        <f t="shared" si="0"/>
        <v>5.7509269883447063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/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12</v>
      </c>
      <c r="V25" s="22"/>
      <c r="W25" s="22"/>
      <c r="X25" s="23"/>
      <c r="Y25" s="20">
        <f t="shared" si="3"/>
        <v>9522.9599999999991</v>
      </c>
      <c r="Z25" s="25">
        <f t="shared" si="0"/>
        <v>3.8339513255631372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f>52-X67</f>
        <v>46.577106277879984</v>
      </c>
      <c r="V27" s="22"/>
      <c r="W27" s="22"/>
      <c r="X27" s="23"/>
      <c r="Y27" s="20">
        <f t="shared" si="3"/>
        <v>36962.660000000003</v>
      </c>
      <c r="Z27" s="25">
        <f t="shared" si="0"/>
        <v>14.881196529581096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/>
      <c r="V28" s="22"/>
      <c r="W28" s="22"/>
      <c r="X28" s="23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100</v>
      </c>
      <c r="S30" s="20">
        <f>+SUM(S6:S29)</f>
        <v>132949</v>
      </c>
      <c r="T30" s="20">
        <f>+SUM(T6:T29)</f>
        <v>100.00000000000001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248385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8912</v>
      </c>
      <c r="D31" s="47">
        <v>0</v>
      </c>
      <c r="E31" s="47">
        <v>8163</v>
      </c>
      <c r="F31" s="47">
        <v>2697</v>
      </c>
      <c r="G31" s="47">
        <v>39978</v>
      </c>
      <c r="H31" s="47">
        <v>0</v>
      </c>
      <c r="I31" s="47">
        <v>0</v>
      </c>
      <c r="J31" s="47">
        <v>68862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3261</v>
      </c>
      <c r="R31" s="47">
        <v>1076</v>
      </c>
      <c r="S31" s="48">
        <f>SUM(C31:R31)</f>
        <v>132949</v>
      </c>
      <c r="T31" s="48">
        <f>S31*100/$S$31</f>
        <v>100</v>
      </c>
      <c r="U31" s="47">
        <v>79358</v>
      </c>
      <c r="V31" s="47">
        <v>18864</v>
      </c>
      <c r="W31" s="47">
        <v>0</v>
      </c>
      <c r="X31" s="47">
        <v>17214</v>
      </c>
      <c r="Y31" s="48">
        <f>+S31+U31+V31+W31+X31</f>
        <v>248385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115</v>
      </c>
      <c r="B43" s="62"/>
      <c r="C43" s="63">
        <v>248385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8912</v>
      </c>
      <c r="D45">
        <v>0</v>
      </c>
      <c r="E45">
        <v>8163</v>
      </c>
      <c r="F45">
        <v>2697</v>
      </c>
      <c r="G45">
        <v>39978</v>
      </c>
      <c r="H45">
        <v>0</v>
      </c>
      <c r="I45">
        <v>0</v>
      </c>
      <c r="J45">
        <v>68862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3261</v>
      </c>
      <c r="R45">
        <v>1076</v>
      </c>
      <c r="U45">
        <v>79358</v>
      </c>
      <c r="V45">
        <v>18864</v>
      </c>
      <c r="W45">
        <v>0</v>
      </c>
      <c r="X45">
        <v>17214</v>
      </c>
      <c r="Y45">
        <v>248385</v>
      </c>
    </row>
    <row r="67" spans="24:24" x14ac:dyDescent="0.25">
      <c r="X67" s="81">
        <f>+X31/4/U31*100</f>
        <v>5.4228937221200129</v>
      </c>
    </row>
  </sheetData>
  <mergeCells count="3">
    <mergeCell ref="A1:Z2"/>
    <mergeCell ref="S4:T4"/>
    <mergeCell ref="Y4:Z4"/>
  </mergeCells>
  <pageMargins left="0.25" right="0.24" top="0.74803149606299213" bottom="0.74803149606299213" header="0.31496062992125984" footer="0.31496062992125984"/>
  <pageSetup paperSize="9" scale="5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C62"/>
  <sheetViews>
    <sheetView topLeftCell="A13" zoomScale="90" zoomScaleNormal="90" workbookViewId="0">
      <selection activeCell="U41" sqref="U41"/>
    </sheetView>
  </sheetViews>
  <sheetFormatPr defaultRowHeight="15" x14ac:dyDescent="0.25"/>
  <cols>
    <col min="1" max="1" width="33.42578125" customWidth="1"/>
    <col min="2" max="2" width="7.28515625" customWidth="1"/>
    <col min="3" max="3" width="8" customWidth="1"/>
    <col min="4" max="4" width="12.42578125" customWidth="1"/>
    <col min="5" max="5" width="12.7109375" customWidth="1"/>
    <col min="6" max="6" width="9.42578125" customWidth="1"/>
    <col min="7" max="7" width="9.140625" bestFit="1" customWidth="1"/>
    <col min="8" max="8" width="8.28515625" bestFit="1" customWidth="1"/>
    <col min="9" max="9" width="11.42578125" customWidth="1"/>
    <col min="10" max="10" width="9.140625" bestFit="1" customWidth="1"/>
    <col min="11" max="11" width="7" customWidth="1"/>
    <col min="12" max="12" width="5.7109375" customWidth="1"/>
    <col min="13" max="13" width="5.7109375" bestFit="1" customWidth="1"/>
    <col min="14" max="14" width="7.85546875" bestFit="1" customWidth="1"/>
    <col min="15" max="15" width="9" customWidth="1"/>
    <col min="16" max="16" width="7" bestFit="1" customWidth="1"/>
    <col min="17" max="17" width="8.140625" bestFit="1" customWidth="1"/>
    <col min="18" max="18" width="7" bestFit="1" customWidth="1"/>
    <col min="19" max="19" width="10.28515625" customWidth="1"/>
    <col min="20" max="20" width="7" customWidth="1"/>
    <col min="21" max="21" width="11.140625" customWidth="1"/>
    <col min="22" max="22" width="11" customWidth="1"/>
    <col min="23" max="23" width="9.28515625" bestFit="1" customWidth="1"/>
    <col min="24" max="24" width="13" customWidth="1"/>
    <col min="25" max="25" width="10.85546875" customWidth="1"/>
    <col min="26" max="26" width="6" customWidth="1"/>
    <col min="27" max="27" width="1.85546875" customWidth="1"/>
  </cols>
  <sheetData>
    <row r="1" spans="1:29" ht="15" customHeight="1" x14ac:dyDescent="0.25">
      <c r="A1" s="325" t="s">
        <v>116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30" t="s">
        <v>1</v>
      </c>
      <c r="C4" s="130" t="s">
        <v>2</v>
      </c>
      <c r="D4" s="5" t="s">
        <v>3</v>
      </c>
      <c r="E4" s="5" t="s">
        <v>4</v>
      </c>
      <c r="F4" s="5" t="s">
        <v>102</v>
      </c>
      <c r="G4" s="131" t="s">
        <v>6</v>
      </c>
      <c r="H4" s="131" t="s">
        <v>7</v>
      </c>
      <c r="I4" s="5" t="s">
        <v>101</v>
      </c>
      <c r="J4" s="131" t="s">
        <v>9</v>
      </c>
      <c r="K4" s="131" t="s">
        <v>10</v>
      </c>
      <c r="L4" s="131" t="s">
        <v>11</v>
      </c>
      <c r="M4" s="131" t="s">
        <v>12</v>
      </c>
      <c r="N4" s="131" t="s">
        <v>13</v>
      </c>
      <c r="O4" s="5" t="s">
        <v>14</v>
      </c>
      <c r="P4" s="131" t="s">
        <v>15</v>
      </c>
      <c r="Q4" s="131" t="s">
        <v>16</v>
      </c>
      <c r="R4" s="131" t="s">
        <v>17</v>
      </c>
      <c r="S4" s="327" t="s">
        <v>18</v>
      </c>
      <c r="T4" s="328"/>
      <c r="U4" s="130" t="s">
        <v>19</v>
      </c>
      <c r="V4" s="131" t="s">
        <v>20</v>
      </c>
      <c r="W4" s="7" t="s">
        <v>21</v>
      </c>
      <c r="X4" s="7" t="s">
        <v>22</v>
      </c>
      <c r="Y4" s="329" t="s">
        <v>23</v>
      </c>
      <c r="Z4" s="330"/>
      <c r="AA4" s="127"/>
      <c r="AB4" s="127"/>
      <c r="AC4" s="127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8" t="s">
        <v>25</v>
      </c>
      <c r="U5" s="128" t="s">
        <v>25</v>
      </c>
      <c r="V5" s="128" t="s">
        <v>25</v>
      </c>
      <c r="W5" s="128" t="s">
        <v>25</v>
      </c>
      <c r="X5" s="128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20</v>
      </c>
      <c r="G6" s="19"/>
      <c r="H6" s="19">
        <v>10</v>
      </c>
      <c r="I6" s="19"/>
      <c r="J6" s="19">
        <v>10</v>
      </c>
      <c r="K6" s="19"/>
      <c r="L6" s="19"/>
      <c r="M6" s="19"/>
      <c r="N6" s="19">
        <v>15</v>
      </c>
      <c r="O6" s="19">
        <v>15</v>
      </c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107818.90000000002</v>
      </c>
      <c r="T6" s="21">
        <f>S6*100/$S$31</f>
        <v>9.4499150270257015</v>
      </c>
      <c r="U6" s="22"/>
      <c r="V6" s="22"/>
      <c r="W6" s="22"/>
      <c r="X6" s="23"/>
      <c r="Y6" s="24">
        <f>U6/100*$U$31+V6/100*$V$31+W6/100*$W$31+X6/100*$X$31+S6</f>
        <v>107818.90000000002</v>
      </c>
      <c r="Z6" s="25">
        <f t="shared" ref="Z6:Z29" si="0">Y6*100/$Y$31</f>
        <v>3.4282083184024685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134">
        <v>23.192031055219932</v>
      </c>
      <c r="I7" s="22"/>
      <c r="J7" s="134">
        <v>23.192031055219932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168357.6791188475</v>
      </c>
      <c r="T7" s="21">
        <f>S7*100/$S$31</f>
        <v>14.755907932842646</v>
      </c>
      <c r="U7" s="134">
        <v>5.5582696338305997</v>
      </c>
      <c r="V7" s="22"/>
      <c r="W7" s="22"/>
      <c r="X7" s="23"/>
      <c r="Y7" s="20">
        <f t="shared" ref="Y7:Y29" si="2">U7/100*$U$31+V7/100*$V$31+W7/100*$W$31+X7/100*$X$31+S7</f>
        <v>256799.97620921858</v>
      </c>
      <c r="Z7" s="25">
        <f t="shared" si="0"/>
        <v>8.1652086471481251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134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>S8*100/$S$31</f>
        <v>0</v>
      </c>
      <c r="U8" s="22"/>
      <c r="V8" s="22"/>
      <c r="W8" s="22"/>
      <c r="X8" s="23"/>
      <c r="Y8" s="20">
        <f t="shared" si="2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134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134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134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134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33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134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134"/>
      <c r="K14" s="22"/>
      <c r="L14" s="22"/>
      <c r="M14" s="22"/>
      <c r="N14" s="22"/>
      <c r="O14" s="22"/>
      <c r="P14" s="22"/>
      <c r="Q14" s="22"/>
      <c r="R14" s="22"/>
      <c r="S14" s="20">
        <f>C14/100*$C$31+D14/100*$D$31+E14/100*$E$31+F14/100*$F$31+G14/100*$G$31+H14/100*$H$31+I14/100*$I$31+J14/100*$J$31+K14/100*$K$31+L14/100*$L$31+M14/100*$M$31+N14/100*$N$31+O14/100*$O$31+P14/100*$P$31+Q14/100*$Q$31+R14/100*$R$31</f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>
        <v>100</v>
      </c>
      <c r="E15" s="22"/>
      <c r="F15" s="22"/>
      <c r="G15" s="22"/>
      <c r="H15" s="22"/>
      <c r="I15" s="22"/>
      <c r="J15" s="134"/>
      <c r="K15" s="22"/>
      <c r="L15" s="22"/>
      <c r="M15" s="22"/>
      <c r="N15" s="22"/>
      <c r="O15" s="22"/>
      <c r="P15" s="22"/>
      <c r="Q15" s="22"/>
      <c r="R15" s="22"/>
      <c r="S15" s="20">
        <f t="shared" si="1"/>
        <v>36418</v>
      </c>
      <c r="T15" s="21">
        <f t="shared" si="3"/>
        <v>3.1918986880242883</v>
      </c>
      <c r="U15" s="22"/>
      <c r="V15" s="33"/>
      <c r="W15" s="33"/>
      <c r="X15" s="23"/>
      <c r="Y15" s="20">
        <f t="shared" si="2"/>
        <v>36418</v>
      </c>
      <c r="Z15" s="25">
        <f t="shared" si="0"/>
        <v>1.1579462463406793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134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172706</v>
      </c>
      <c r="T16" s="21">
        <f t="shared" si="3"/>
        <v>15.137021660001174</v>
      </c>
      <c r="U16" s="22"/>
      <c r="V16" s="33"/>
      <c r="W16" s="33"/>
      <c r="X16" s="23"/>
      <c r="Y16" s="20">
        <f t="shared" si="2"/>
        <v>172706</v>
      </c>
      <c r="Z16" s="25">
        <f t="shared" si="0"/>
        <v>5.4913576918148541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80</v>
      </c>
      <c r="G17" s="22"/>
      <c r="H17" s="134">
        <v>66.807968944780072</v>
      </c>
      <c r="I17" s="22"/>
      <c r="J17" s="134">
        <v>66.807968944780072</v>
      </c>
      <c r="K17" s="22"/>
      <c r="L17" s="22"/>
      <c r="M17" s="22"/>
      <c r="N17" s="22">
        <v>85</v>
      </c>
      <c r="O17" s="22">
        <v>85</v>
      </c>
      <c r="P17" s="22">
        <v>100</v>
      </c>
      <c r="Q17" s="22">
        <v>100</v>
      </c>
      <c r="R17" s="22">
        <v>100</v>
      </c>
      <c r="S17" s="20">
        <f t="shared" si="1"/>
        <v>655650.42088115262</v>
      </c>
      <c r="T17" s="21">
        <f t="shared" si="3"/>
        <v>57.465256692106202</v>
      </c>
      <c r="U17" s="33">
        <v>1.1318228011886415</v>
      </c>
      <c r="V17" s="22">
        <v>100</v>
      </c>
      <c r="W17" s="22"/>
      <c r="X17" s="23">
        <v>100</v>
      </c>
      <c r="Y17" s="20">
        <f t="shared" si="2"/>
        <v>1086575.8042020181</v>
      </c>
      <c r="Z17" s="25">
        <f t="shared" si="0"/>
        <v>34.54874989950936</v>
      </c>
    </row>
    <row r="18" spans="1:27" x14ac:dyDescent="0.25">
      <c r="A18" s="35" t="s">
        <v>38</v>
      </c>
      <c r="B18" s="132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1</v>
      </c>
      <c r="V18" s="22"/>
      <c r="W18" s="22"/>
      <c r="X18" s="23"/>
      <c r="Y18" s="20">
        <f t="shared" si="2"/>
        <v>15911.84</v>
      </c>
      <c r="Z18" s="25">
        <f t="shared" si="0"/>
        <v>0.5059326541922532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>C19/100*$C$31+D19/100*$D$31+E19/100*$E$31+F19/100*$F$31+G19/100*$G$31+H19/100*$H$31+I19/100*$I$31+J19/100*$J$31+K19/100*$K$31+L19/100*$L$31+M19/100*$M$31+N19/100*$N$31+O19/100*$O$31+P19/100*$P$31+Q19/100*$Q$31+R19/100*$R$31</f>
        <v>0</v>
      </c>
      <c r="T19" s="21">
        <f t="shared" ref="T19:T29" si="4">S19*100/$S$31</f>
        <v>0</v>
      </c>
      <c r="U19" s="33">
        <v>8.9259500699883265</v>
      </c>
      <c r="V19" s="22"/>
      <c r="W19" s="22"/>
      <c r="X19" s="23"/>
      <c r="Y19" s="20">
        <f t="shared" si="2"/>
        <v>142028.28936164305</v>
      </c>
      <c r="Z19" s="25">
        <f t="shared" si="0"/>
        <v>4.5159296100967214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/>
      <c r="V20" s="22"/>
      <c r="W20" s="22"/>
      <c r="X20" s="23"/>
      <c r="Y20" s="20">
        <f t="shared" si="2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3.9172961551651033</v>
      </c>
      <c r="V22" s="22"/>
      <c r="W22" s="22"/>
      <c r="X22" s="23"/>
      <c r="Y22" s="20">
        <f>U22/100*$U$31+V22/100*$V$31+W22/100*$W$31+X22/100*$X$31+S22</f>
        <v>62331.389653602302</v>
      </c>
      <c r="Z22" s="25">
        <f t="shared" si="0"/>
        <v>1.9818880410397892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10.204733741582588</v>
      </c>
      <c r="V23" s="22"/>
      <c r="W23" s="22"/>
      <c r="X23" s="23"/>
      <c r="Y23" s="20">
        <f t="shared" si="2"/>
        <v>162376.0905386635</v>
      </c>
      <c r="Z23" s="25">
        <f t="shared" si="0"/>
        <v>5.1629080272041215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1.5734422815955214</v>
      </c>
      <c r="V24" s="22"/>
      <c r="W24" s="22"/>
      <c r="X24" s="23"/>
      <c r="Y24" s="20">
        <f t="shared" si="2"/>
        <v>25036.361833982883</v>
      </c>
      <c r="Z24" s="25">
        <f t="shared" si="0"/>
        <v>0.7960558297459368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7.8099672036848089</v>
      </c>
      <c r="V25" s="22"/>
      <c r="W25" s="22"/>
      <c r="X25" s="23"/>
      <c r="Y25" s="20">
        <f t="shared" si="2"/>
        <v>124270.9485502801</v>
      </c>
      <c r="Z25" s="25">
        <f t="shared" si="0"/>
        <v>3.9513174365147048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33">
        <v>5.4375229442358357</v>
      </c>
      <c r="V26" s="22"/>
      <c r="W26" s="22"/>
      <c r="X26" s="23"/>
      <c r="Y26" s="20">
        <f t="shared" si="2"/>
        <v>86520.995085009534</v>
      </c>
      <c r="Z26" s="25">
        <f t="shared" si="0"/>
        <v>2.7510204154085112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49.881153917323267</v>
      </c>
      <c r="V27" s="22"/>
      <c r="W27" s="22"/>
      <c r="X27" s="23"/>
      <c r="Y27" s="20">
        <f t="shared" si="2"/>
        <v>793700.94014782109</v>
      </c>
      <c r="Z27" s="25">
        <f t="shared" si="0"/>
        <v>25.23650459556367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4.5598412514052971</v>
      </c>
      <c r="V28" s="22"/>
      <c r="W28" s="22"/>
      <c r="X28" s="23"/>
      <c r="Y28" s="20">
        <f t="shared" si="2"/>
        <v>72555.464417760857</v>
      </c>
      <c r="Z28" s="25">
        <f t="shared" si="0"/>
        <v>2.3069725870188069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100</v>
      </c>
      <c r="Q30" s="44">
        <f t="shared" si="5"/>
        <v>100</v>
      </c>
      <c r="R30" s="44">
        <f t="shared" si="5"/>
        <v>100</v>
      </c>
      <c r="S30" s="20">
        <f>+SUM(S6:S29)</f>
        <v>1140951</v>
      </c>
      <c r="T30" s="20">
        <f>+SUM(T6:T29)</f>
        <v>100.00000000000001</v>
      </c>
      <c r="U30" s="44">
        <f>SUM(U6:U29)</f>
        <v>99.999999999999986</v>
      </c>
      <c r="V30" s="44">
        <f t="shared" ref="V30:W30" si="6">SUM(V6:V29)</f>
        <v>100</v>
      </c>
      <c r="W30" s="44">
        <f t="shared" si="6"/>
        <v>0</v>
      </c>
      <c r="X30" s="44">
        <f>SUM(X6:X29)</f>
        <v>100</v>
      </c>
      <c r="Y30" s="39">
        <f>SUM(Y6:Y29)</f>
        <v>3145051.0000000005</v>
      </c>
      <c r="Z30" s="42">
        <f>SUM(Z6:Z29)</f>
        <v>99.999999999999986</v>
      </c>
    </row>
    <row r="31" spans="1:27" ht="15.75" thickBot="1" x14ac:dyDescent="0.3">
      <c r="A31" s="150" t="s">
        <v>51</v>
      </c>
      <c r="B31" s="46" t="s">
        <v>24</v>
      </c>
      <c r="C31" s="47">
        <v>36361</v>
      </c>
      <c r="D31" s="47">
        <v>57</v>
      </c>
      <c r="E31" s="47">
        <v>18248</v>
      </c>
      <c r="F31" s="47">
        <v>156249</v>
      </c>
      <c r="G31" s="47">
        <v>154458</v>
      </c>
      <c r="H31" s="47">
        <v>31420</v>
      </c>
      <c r="I31" s="47">
        <v>0</v>
      </c>
      <c r="J31" s="47">
        <v>694509</v>
      </c>
      <c r="K31" s="47">
        <v>0</v>
      </c>
      <c r="L31" s="47">
        <v>0</v>
      </c>
      <c r="M31" s="47">
        <v>0</v>
      </c>
      <c r="N31" s="47">
        <v>599</v>
      </c>
      <c r="O31" s="47">
        <v>25909</v>
      </c>
      <c r="P31" s="47">
        <v>7152</v>
      </c>
      <c r="Q31" s="47">
        <v>12162</v>
      </c>
      <c r="R31" s="47">
        <v>3827</v>
      </c>
      <c r="S31" s="48">
        <f>SUM(C31:R31)</f>
        <v>1140951</v>
      </c>
      <c r="T31" s="48">
        <f>S31*100/$S$31</f>
        <v>100</v>
      </c>
      <c r="U31" s="47">
        <v>1591184</v>
      </c>
      <c r="V31" s="47">
        <v>319526</v>
      </c>
      <c r="W31" s="47">
        <v>0</v>
      </c>
      <c r="X31" s="47">
        <v>93390</v>
      </c>
      <c r="Y31" s="48">
        <f>+S31+U31+V31+W31+X31</f>
        <v>3145051</v>
      </c>
      <c r="Z31" s="48">
        <f>Y31*100/$Y$31</f>
        <v>100</v>
      </c>
      <c r="AA31" s="49"/>
    </row>
    <row r="32" spans="1:27" ht="15.75" thickTop="1" x14ac:dyDescent="0.25">
      <c r="A32" s="151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  <c r="U35" s="152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117</v>
      </c>
      <c r="B43" s="62"/>
      <c r="C43" s="63">
        <v>3145051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  <c r="C45">
        <v>36361</v>
      </c>
      <c r="D45">
        <v>57</v>
      </c>
      <c r="E45">
        <v>18248</v>
      </c>
      <c r="F45">
        <v>156249</v>
      </c>
      <c r="G45">
        <v>154458</v>
      </c>
      <c r="H45">
        <v>31420</v>
      </c>
      <c r="I45">
        <v>0</v>
      </c>
      <c r="J45">
        <v>694509</v>
      </c>
      <c r="K45">
        <v>0</v>
      </c>
      <c r="L45">
        <v>0</v>
      </c>
      <c r="M45">
        <v>0</v>
      </c>
      <c r="N45">
        <v>599</v>
      </c>
      <c r="O45">
        <v>25909</v>
      </c>
      <c r="P45">
        <v>7152</v>
      </c>
      <c r="Q45">
        <v>12162</v>
      </c>
      <c r="R45">
        <v>3827</v>
      </c>
      <c r="U45">
        <v>1591184</v>
      </c>
      <c r="V45">
        <v>319526</v>
      </c>
      <c r="W45">
        <v>0</v>
      </c>
      <c r="X45">
        <v>93390</v>
      </c>
      <c r="Y45">
        <v>3145051</v>
      </c>
    </row>
    <row r="46" spans="1:25" ht="18.75" x14ac:dyDescent="0.3">
      <c r="A46" s="142"/>
      <c r="B46" s="65"/>
    </row>
    <row r="47" spans="1:25" ht="18.75" x14ac:dyDescent="0.3">
      <c r="A47" s="60"/>
      <c r="B47" s="65"/>
    </row>
    <row r="62" spans="24:24" x14ac:dyDescent="0.25">
      <c r="X62">
        <f>+X31/4/U31</f>
        <v>1.4673035927963077E-2</v>
      </c>
    </row>
  </sheetData>
  <mergeCells count="3">
    <mergeCell ref="A1:Z2"/>
    <mergeCell ref="S4:T4"/>
    <mergeCell ref="Y4:Z4"/>
  </mergeCells>
  <pageMargins left="0.27559055118110237" right="0.31496062992125984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7"/>
  <sheetViews>
    <sheetView zoomScale="90" zoomScaleNormal="90" workbookViewId="0">
      <selection activeCell="H41" sqref="H41"/>
    </sheetView>
  </sheetViews>
  <sheetFormatPr defaultRowHeight="15" x14ac:dyDescent="0.25"/>
  <cols>
    <col min="1" max="1" width="34" customWidth="1"/>
    <col min="2" max="2" width="7.85546875" customWidth="1"/>
    <col min="3" max="3" width="8.5703125" customWidth="1"/>
    <col min="4" max="4" width="12.85546875" customWidth="1"/>
    <col min="5" max="5" width="12.42578125" customWidth="1"/>
    <col min="6" max="6" width="9.140625" customWidth="1"/>
    <col min="7" max="7" width="10.7109375" customWidth="1"/>
    <col min="8" max="8" width="8.28515625" bestFit="1" customWidth="1"/>
    <col min="9" max="9" width="11.28515625" customWidth="1"/>
    <col min="10" max="10" width="9" bestFit="1" customWidth="1"/>
    <col min="11" max="11" width="6" customWidth="1"/>
    <col min="12" max="12" width="6.140625" customWidth="1"/>
    <col min="13" max="13" width="5.7109375" bestFit="1" customWidth="1"/>
    <col min="14" max="14" width="8.28515625" customWidth="1"/>
    <col min="15" max="15" width="9" customWidth="1"/>
    <col min="16" max="16" width="7" bestFit="1" customWidth="1"/>
    <col min="17" max="17" width="7.28515625" bestFit="1" customWidth="1"/>
    <col min="18" max="18" width="6.42578125" bestFit="1" customWidth="1"/>
    <col min="19" max="19" width="10.85546875" customWidth="1"/>
    <col min="20" max="20" width="7" customWidth="1"/>
    <col min="21" max="21" width="9.5703125" customWidth="1"/>
    <col min="22" max="22" width="10.85546875" customWidth="1"/>
    <col min="23" max="23" width="9.28515625" bestFit="1" customWidth="1"/>
    <col min="24" max="24" width="13.85546875" customWidth="1"/>
    <col min="25" max="25" width="10.42578125" customWidth="1"/>
    <col min="26" max="26" width="7.28515625" customWidth="1"/>
    <col min="27" max="27" width="1.85546875" customWidth="1"/>
  </cols>
  <sheetData>
    <row r="1" spans="1:29" ht="15" customHeight="1" x14ac:dyDescent="0.25">
      <c r="A1" s="325" t="s">
        <v>257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301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91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>
        <f t="shared" ref="S6:S29" si="0">C6/100*$C$31+D6/100*$D$31+E6/100*$E$31+F6/100*$F$31+G6/100*$G$31+H6/100*$H$31+I6/100*$I$31+J6/100*$J$31+K6/100*$K$31+L6/100*$L$31+M6/100*$M$31+N6/100*$N$31+O6/100*$O$31+P6/100*$P$31+Q6/100*$Q$31+R6/100*$R$31</f>
        <v>16226.099999999999</v>
      </c>
      <c r="T6" s="21">
        <f>S6*100/$S$31</f>
        <v>0.67807482429754529</v>
      </c>
      <c r="U6" s="22"/>
      <c r="V6" s="22"/>
      <c r="W6" s="22"/>
      <c r="X6" s="23"/>
      <c r="Y6" s="20">
        <f>U6/100*$U$31+V6/100*$V$31+W6/100*$W$31+X6/100*$X$31+S6</f>
        <v>16226.099999999999</v>
      </c>
      <c r="Z6" s="25">
        <f t="shared" ref="Z6:Z28" si="1">Y6*100/$Y$31</f>
        <v>0.64784988309547831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si="0"/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1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0"/>
        <v>0</v>
      </c>
      <c r="T8" s="21">
        <f>S8*100/$S$31</f>
        <v>0</v>
      </c>
      <c r="U8" s="22"/>
      <c r="V8" s="22"/>
      <c r="W8" s="22"/>
      <c r="X8" s="23"/>
      <c r="Y8" s="20">
        <f t="shared" si="2"/>
        <v>0</v>
      </c>
      <c r="Z8" s="25">
        <f t="shared" si="1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0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1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0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1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0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1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0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1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0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1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0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1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>
        <v>100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0"/>
        <v>2284792</v>
      </c>
      <c r="T15" s="21">
        <f t="shared" si="3"/>
        <v>95.479501171349696</v>
      </c>
      <c r="U15" s="22"/>
      <c r="V15" s="33"/>
      <c r="W15" s="22"/>
      <c r="X15" s="23"/>
      <c r="Y15" s="20">
        <f t="shared" si="2"/>
        <v>2284792</v>
      </c>
      <c r="Z15" s="25">
        <f t="shared" si="1"/>
        <v>91.223536777012612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0"/>
        <v>0</v>
      </c>
      <c r="T16" s="21">
        <f t="shared" si="3"/>
        <v>0</v>
      </c>
      <c r="U16" s="22"/>
      <c r="V16" s="33"/>
      <c r="W16" s="22"/>
      <c r="X16" s="23"/>
      <c r="Y16" s="20">
        <f>U16/100*$U$31+V16/100*$V$31+W16/100*$W$31+X16/100*$X$31+S16</f>
        <v>0</v>
      </c>
      <c r="Z16" s="25">
        <f>Y16*100/$Y$31</f>
        <v>0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0">
        <f t="shared" si="0"/>
        <v>91947.9</v>
      </c>
      <c r="T17" s="21">
        <f t="shared" si="3"/>
        <v>3.8424240043527571</v>
      </c>
      <c r="U17" s="33"/>
      <c r="V17" s="22"/>
      <c r="W17" s="22"/>
      <c r="X17" s="23"/>
      <c r="Y17" s="20">
        <f t="shared" si="2"/>
        <v>91947.9</v>
      </c>
      <c r="Z17" s="25">
        <f t="shared" si="1"/>
        <v>3.6711493375410442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0"/>
        <v>0</v>
      </c>
      <c r="T18" s="21">
        <f>S18*100/$S$31</f>
        <v>0</v>
      </c>
      <c r="U18" s="33"/>
      <c r="V18" s="22"/>
      <c r="W18" s="22"/>
      <c r="X18" s="23"/>
      <c r="Y18" s="20">
        <f t="shared" si="2"/>
        <v>0</v>
      </c>
      <c r="Z18" s="25">
        <f t="shared" si="1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v>0</v>
      </c>
      <c r="T19" s="21">
        <f t="shared" ref="T19:T29" si="4">S19*100/$S$31</f>
        <v>0</v>
      </c>
      <c r="U19" s="33">
        <v>40</v>
      </c>
      <c r="V19" s="22"/>
      <c r="W19" s="22"/>
      <c r="X19" s="23"/>
      <c r="Y19" s="20">
        <f t="shared" si="2"/>
        <v>44656.800000000003</v>
      </c>
      <c r="Z19" s="25">
        <f t="shared" si="1"/>
        <v>1.7829856009403469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v>0</v>
      </c>
      <c r="T20" s="21">
        <f t="shared" si="4"/>
        <v>0</v>
      </c>
      <c r="U20" s="33">
        <v>4</v>
      </c>
      <c r="V20" s="22"/>
      <c r="W20" s="22"/>
      <c r="X20" s="23"/>
      <c r="Y20" s="20">
        <f t="shared" si="2"/>
        <v>4465.68</v>
      </c>
      <c r="Z20" s="25">
        <f t="shared" si="1"/>
        <v>0.17829856009403466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1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v>0</v>
      </c>
      <c r="T22" s="21">
        <f t="shared" si="4"/>
        <v>0</v>
      </c>
      <c r="U22" s="33">
        <v>1</v>
      </c>
      <c r="V22" s="22"/>
      <c r="W22" s="22"/>
      <c r="X22" s="23"/>
      <c r="Y22" s="20">
        <f t="shared" si="2"/>
        <v>1116.42</v>
      </c>
      <c r="Z22" s="25">
        <f t="shared" si="1"/>
        <v>4.4574640023508666E-2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v>0</v>
      </c>
      <c r="T23" s="21">
        <f t="shared" si="4"/>
        <v>0</v>
      </c>
      <c r="U23" s="33"/>
      <c r="V23" s="22"/>
      <c r="W23" s="22"/>
      <c r="X23" s="23"/>
      <c r="Y23" s="20">
        <f t="shared" si="2"/>
        <v>0</v>
      </c>
      <c r="Z23" s="25">
        <f t="shared" si="1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v>0</v>
      </c>
      <c r="T24" s="21">
        <f t="shared" si="4"/>
        <v>0</v>
      </c>
      <c r="U24" s="22">
        <v>13</v>
      </c>
      <c r="V24" s="22"/>
      <c r="W24" s="22"/>
      <c r="X24" s="23"/>
      <c r="Y24" s="20">
        <f t="shared" si="2"/>
        <v>14513.460000000001</v>
      </c>
      <c r="Z24" s="25">
        <f t="shared" si="1"/>
        <v>0.57947032030561274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v>0</v>
      </c>
      <c r="T25" s="21">
        <f t="shared" si="4"/>
        <v>0</v>
      </c>
      <c r="U25" s="33">
        <v>17</v>
      </c>
      <c r="V25" s="22"/>
      <c r="W25" s="22"/>
      <c r="X25" s="23"/>
      <c r="Y25" s="20">
        <f t="shared" si="2"/>
        <v>18979.140000000003</v>
      </c>
      <c r="Z25" s="25">
        <f t="shared" si="1"/>
        <v>0.75776888039964752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1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v>0</v>
      </c>
      <c r="T27" s="21">
        <f t="shared" si="4"/>
        <v>0</v>
      </c>
      <c r="U27" s="33">
        <v>7</v>
      </c>
      <c r="V27" s="22"/>
      <c r="W27" s="22"/>
      <c r="X27" s="23"/>
      <c r="Y27" s="20">
        <f t="shared" si="2"/>
        <v>7814.9400000000005</v>
      </c>
      <c r="Z27" s="25">
        <f t="shared" si="1"/>
        <v>0.31202248016456069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v>0</v>
      </c>
      <c r="T28" s="21">
        <f t="shared" si="4"/>
        <v>0</v>
      </c>
      <c r="U28" s="33">
        <v>1</v>
      </c>
      <c r="V28" s="22"/>
      <c r="W28" s="22"/>
      <c r="X28" s="23"/>
      <c r="Y28" s="20">
        <f t="shared" si="2"/>
        <v>1116.42</v>
      </c>
      <c r="Z28" s="25">
        <f t="shared" si="1"/>
        <v>4.4574640023508666E-2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0"/>
        <v>0</v>
      </c>
      <c r="T29" s="40">
        <f t="shared" si="4"/>
        <v>0</v>
      </c>
      <c r="U29" s="38">
        <v>17</v>
      </c>
      <c r="V29" s="38"/>
      <c r="W29" s="38"/>
      <c r="X29" s="41"/>
      <c r="Y29" s="39">
        <f t="shared" si="2"/>
        <v>18979.140000000003</v>
      </c>
      <c r="Z29" s="42">
        <f>Y29*100/$Y$31</f>
        <v>0.75776888039964752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0</v>
      </c>
      <c r="D30" s="44">
        <f t="shared" si="5"/>
        <v>0</v>
      </c>
      <c r="E30" s="44">
        <f t="shared" si="5"/>
        <v>0</v>
      </c>
      <c r="F30" s="44">
        <f t="shared" si="5"/>
        <v>100</v>
      </c>
      <c r="G30" s="44">
        <f t="shared" si="5"/>
        <v>100</v>
      </c>
      <c r="H30" s="44">
        <f t="shared" si="5"/>
        <v>0</v>
      </c>
      <c r="I30" s="44">
        <f t="shared" si="5"/>
        <v>0</v>
      </c>
      <c r="J30" s="44">
        <f t="shared" si="5"/>
        <v>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0</v>
      </c>
      <c r="R30" s="44">
        <f t="shared" si="5"/>
        <v>0</v>
      </c>
      <c r="S30" s="20">
        <f>+SUM(S6:S29)</f>
        <v>2392966</v>
      </c>
      <c r="T30" s="20">
        <f>+SUM(T6:T29)</f>
        <v>99.999999999999986</v>
      </c>
      <c r="U30" s="44">
        <f>SUM(U6:U29)</f>
        <v>100</v>
      </c>
      <c r="V30" s="44">
        <f t="shared" ref="V30" si="6">SUM(V6:V29)</f>
        <v>0</v>
      </c>
      <c r="W30" s="44">
        <f>SUM(W6:W29)</f>
        <v>0</v>
      </c>
      <c r="X30" s="44">
        <f>SUM(X6:X29)</f>
        <v>0</v>
      </c>
      <c r="Y30" s="39">
        <f>SUM(Y6:Y29)</f>
        <v>2504608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0</v>
      </c>
      <c r="F31" s="47">
        <v>108174</v>
      </c>
      <c r="G31" s="47">
        <v>2284792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8">
        <f>SUM(C31:R31)</f>
        <v>2392966</v>
      </c>
      <c r="T31" s="48">
        <f>S31*100/$S$31</f>
        <v>100</v>
      </c>
      <c r="U31" s="47">
        <v>111642</v>
      </c>
      <c r="V31" s="47">
        <v>0</v>
      </c>
      <c r="W31" s="47">
        <v>0</v>
      </c>
      <c r="X31" s="141">
        <v>0</v>
      </c>
      <c r="Y31" s="48">
        <f>+S31+U31+V31+W31+X31</f>
        <v>2504608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00" t="s">
        <v>258</v>
      </c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297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x14ac:dyDescent="0.25">
      <c r="B46" s="65"/>
    </row>
    <row r="47" spans="1:19" ht="18.75" x14ac:dyDescent="0.3">
      <c r="A47" s="60"/>
      <c r="B47" s="65"/>
    </row>
  </sheetData>
  <mergeCells count="3">
    <mergeCell ref="A1:Z2"/>
    <mergeCell ref="S4:T4"/>
    <mergeCell ref="Y4:Z4"/>
  </mergeCells>
  <pageMargins left="0.27" right="0.23" top="0.74803149606299213" bottom="0.74803149606299213" header="0.31496062992125984" footer="0.31496062992125984"/>
  <pageSetup paperSize="9" scale="5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C46"/>
  <sheetViews>
    <sheetView zoomScale="90" zoomScaleNormal="90" workbookViewId="0">
      <selection activeCell="V38" sqref="V38"/>
    </sheetView>
  </sheetViews>
  <sheetFormatPr defaultRowHeight="15" x14ac:dyDescent="0.25"/>
  <cols>
    <col min="1" max="1" width="32" customWidth="1"/>
    <col min="2" max="2" width="7.28515625" customWidth="1"/>
    <col min="3" max="3" width="9.42578125" customWidth="1"/>
    <col min="4" max="5" width="12.42578125" customWidth="1"/>
    <col min="6" max="6" width="9.28515625" customWidth="1"/>
    <col min="7" max="7" width="9.140625" bestFit="1" customWidth="1"/>
    <col min="8" max="8" width="8.28515625" bestFit="1" customWidth="1"/>
    <col min="9" max="9" width="10.85546875" customWidth="1"/>
    <col min="10" max="10" width="9.140625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8.5703125" customWidth="1"/>
    <col min="15" max="15" width="10.28515625" customWidth="1"/>
    <col min="16" max="16" width="7" bestFit="1" customWidth="1"/>
    <col min="17" max="17" width="8.140625" bestFit="1" customWidth="1"/>
    <col min="18" max="18" width="7" bestFit="1" customWidth="1"/>
    <col min="19" max="19" width="10.42578125" customWidth="1"/>
    <col min="20" max="20" width="7.42578125" customWidth="1"/>
    <col min="21" max="21" width="10.140625" customWidth="1"/>
    <col min="22" max="22" width="11.140625" customWidth="1"/>
    <col min="23" max="23" width="9.28515625" bestFit="1" customWidth="1"/>
    <col min="24" max="24" width="13" customWidth="1"/>
    <col min="25" max="25" width="10.7109375" customWidth="1"/>
    <col min="26" max="26" width="7.85546875" customWidth="1"/>
    <col min="27" max="27" width="1.85546875" customWidth="1"/>
  </cols>
  <sheetData>
    <row r="1" spans="1:29" ht="15" customHeight="1" x14ac:dyDescent="0.25">
      <c r="A1" s="325" t="s">
        <v>176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84" t="s">
        <v>1</v>
      </c>
      <c r="C4" s="184" t="s">
        <v>2</v>
      </c>
      <c r="D4" s="5" t="s">
        <v>3</v>
      </c>
      <c r="E4" s="5" t="s">
        <v>79</v>
      </c>
      <c r="F4" s="5" t="s">
        <v>102</v>
      </c>
      <c r="G4" s="185" t="s">
        <v>6</v>
      </c>
      <c r="H4" s="185" t="s">
        <v>7</v>
      </c>
      <c r="I4" s="5" t="s">
        <v>101</v>
      </c>
      <c r="J4" s="185" t="s">
        <v>9</v>
      </c>
      <c r="K4" s="185" t="s">
        <v>10</v>
      </c>
      <c r="L4" s="185" t="s">
        <v>11</v>
      </c>
      <c r="M4" s="185" t="s">
        <v>12</v>
      </c>
      <c r="N4" s="185" t="s">
        <v>13</v>
      </c>
      <c r="O4" s="5" t="s">
        <v>14</v>
      </c>
      <c r="P4" s="185" t="s">
        <v>15</v>
      </c>
      <c r="Q4" s="185" t="s">
        <v>16</v>
      </c>
      <c r="R4" s="185" t="s">
        <v>17</v>
      </c>
      <c r="S4" s="327" t="s">
        <v>18</v>
      </c>
      <c r="T4" s="328"/>
      <c r="U4" s="184" t="s">
        <v>19</v>
      </c>
      <c r="V4" s="185" t="s">
        <v>20</v>
      </c>
      <c r="W4" s="7" t="s">
        <v>21</v>
      </c>
      <c r="X4" s="7" t="s">
        <v>22</v>
      </c>
      <c r="Y4" s="329" t="s">
        <v>23</v>
      </c>
      <c r="Z4" s="330"/>
      <c r="AA4" s="181"/>
      <c r="AB4" s="181"/>
      <c r="AC4" s="181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2" t="s">
        <v>25</v>
      </c>
      <c r="U5" s="182" t="s">
        <v>25</v>
      </c>
      <c r="V5" s="182" t="s">
        <v>25</v>
      </c>
      <c r="W5" s="182" t="s">
        <v>25</v>
      </c>
      <c r="X5" s="183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2</v>
      </c>
      <c r="D6" s="19"/>
      <c r="E6" s="19"/>
      <c r="F6" s="19">
        <v>14</v>
      </c>
      <c r="G6" s="19"/>
      <c r="H6" s="19">
        <v>18</v>
      </c>
      <c r="I6" s="19"/>
      <c r="J6" s="19">
        <v>13</v>
      </c>
      <c r="K6" s="19"/>
      <c r="L6" s="19"/>
      <c r="M6" s="19"/>
      <c r="N6" s="19">
        <v>25</v>
      </c>
      <c r="O6" s="19">
        <v>25</v>
      </c>
      <c r="P6" s="19">
        <v>25</v>
      </c>
      <c r="Q6" s="19">
        <v>25</v>
      </c>
      <c r="R6" s="19">
        <v>20</v>
      </c>
      <c r="S6" s="20">
        <f>C6/100*$C$31+D6/100*$D$31+E6/100*$E$31+F6/100*$F$31+G6/100*$G$31+H6/100*$H$31+I6/100*$I$31+J6/100*$J$31+K6/100*$K$31+L6/100*$L$31+M6/100*$M$31+N6/100*$N$31+O6/100*$O$31+P6/100*$P$31+Q6/100*$Q$31+R6/100*$R$31</f>
        <v>186914.62</v>
      </c>
      <c r="T6" s="21">
        <f>S6*100/$S$31</f>
        <v>10.535974805826857</v>
      </c>
      <c r="U6" s="22"/>
      <c r="V6" s="22"/>
      <c r="W6" s="22"/>
      <c r="X6" s="23"/>
      <c r="Y6" s="20">
        <f>U6/100*$U$31+V6/100*$V$31+W6/100*$W$31+X6/100*$X$31+S6</f>
        <v>186914.62</v>
      </c>
      <c r="Z6" s="25">
        <f t="shared" ref="Z6:Z28" si="0">Y6*100/$Y$31</f>
        <v>6.4109051634104173</v>
      </c>
    </row>
    <row r="7" spans="1:29" x14ac:dyDescent="0.25">
      <c r="A7" s="26" t="s">
        <v>27</v>
      </c>
      <c r="B7" s="18" t="s">
        <v>25</v>
      </c>
      <c r="C7" s="22">
        <v>2</v>
      </c>
      <c r="D7" s="22"/>
      <c r="E7" s="22"/>
      <c r="F7" s="22">
        <v>4</v>
      </c>
      <c r="G7" s="22"/>
      <c r="H7" s="22">
        <v>5</v>
      </c>
      <c r="I7" s="22"/>
      <c r="J7" s="22">
        <v>3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28186.33</v>
      </c>
      <c r="T7" s="21">
        <f>S7*100/$S$31</f>
        <v>1.5888027525547317</v>
      </c>
      <c r="U7" s="22"/>
      <c r="V7" s="22"/>
      <c r="W7" s="22"/>
      <c r="X7" s="23"/>
      <c r="Y7" s="20">
        <f t="shared" ref="Y7:Y29" si="2">U7/100*$U$31+V7/100*$V$31+W7/100*$W$31+X7/100*$X$31+S7</f>
        <v>28186.33</v>
      </c>
      <c r="Z7" s="25">
        <f t="shared" si="0"/>
        <v>0.96675096113182557</v>
      </c>
    </row>
    <row r="8" spans="1:29" x14ac:dyDescent="0.25">
      <c r="A8" s="3" t="s">
        <v>28</v>
      </c>
      <c r="B8" s="27" t="s">
        <v>25</v>
      </c>
      <c r="C8" s="22">
        <v>54</v>
      </c>
      <c r="D8" s="22"/>
      <c r="E8" s="22"/>
      <c r="F8" s="22">
        <v>7</v>
      </c>
      <c r="G8" s="22"/>
      <c r="H8" s="22">
        <v>23</v>
      </c>
      <c r="I8" s="22"/>
      <c r="J8" s="22">
        <v>13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200292.85</v>
      </c>
      <c r="T8" s="21">
        <f>S8*100/$S$31</f>
        <v>11.290076835013002</v>
      </c>
      <c r="U8" s="22">
        <v>3</v>
      </c>
      <c r="V8" s="22">
        <v>3</v>
      </c>
      <c r="W8" s="22"/>
      <c r="X8" s="23"/>
      <c r="Y8" s="20">
        <f t="shared" si="2"/>
        <v>231699.4</v>
      </c>
      <c r="Z8" s="25">
        <f t="shared" si="0"/>
        <v>7.9469593112571699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>
        <v>1</v>
      </c>
      <c r="V11" s="22"/>
      <c r="W11" s="22"/>
      <c r="X11" s="23"/>
      <c r="Y11" s="20">
        <f t="shared" si="2"/>
        <v>8191.56</v>
      </c>
      <c r="Z11" s="25">
        <f t="shared" si="0"/>
        <v>0.28095883725085946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>
        <v>2</v>
      </c>
      <c r="V12" s="22"/>
      <c r="W12" s="22"/>
      <c r="X12" s="23"/>
      <c r="Y12" s="20">
        <f t="shared" si="2"/>
        <v>16383.12</v>
      </c>
      <c r="Z12" s="25">
        <f t="shared" si="0"/>
        <v>0.56191767450171892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>
        <v>24</v>
      </c>
      <c r="D14" s="22"/>
      <c r="E14" s="22"/>
      <c r="F14" s="22">
        <v>2</v>
      </c>
      <c r="G14" s="22"/>
      <c r="H14" s="22"/>
      <c r="I14" s="22"/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57665.120000000003</v>
      </c>
      <c r="T14" s="21">
        <f t="shared" si="3"/>
        <v>3.250458693359473</v>
      </c>
      <c r="U14" s="22">
        <v>1</v>
      </c>
      <c r="V14" s="22"/>
      <c r="W14" s="22"/>
      <c r="X14" s="23"/>
      <c r="Y14" s="20">
        <f t="shared" si="2"/>
        <v>65856.680000000008</v>
      </c>
      <c r="Z14" s="25">
        <f t="shared" si="0"/>
        <v>2.2587902961098902</v>
      </c>
    </row>
    <row r="15" spans="1:29" x14ac:dyDescent="0.25">
      <c r="A15" s="31" t="s">
        <v>35</v>
      </c>
      <c r="B15" s="18" t="s">
        <v>25</v>
      </c>
      <c r="C15" s="22">
        <v>6</v>
      </c>
      <c r="D15" s="22">
        <v>100</v>
      </c>
      <c r="E15" s="22">
        <v>100</v>
      </c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300118.48</v>
      </c>
      <c r="T15" s="21">
        <f t="shared" si="3"/>
        <v>16.917032728863326</v>
      </c>
      <c r="U15" s="22"/>
      <c r="V15" s="33"/>
      <c r="W15" s="22"/>
      <c r="X15" s="23"/>
      <c r="Y15" s="20">
        <f t="shared" si="2"/>
        <v>300118.48</v>
      </c>
      <c r="Z15" s="25">
        <f t="shared" si="0"/>
        <v>10.293636276642705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240578.5</v>
      </c>
      <c r="T16" s="21">
        <f t="shared" si="3"/>
        <v>13.560892212838228</v>
      </c>
      <c r="U16" s="22"/>
      <c r="V16" s="33"/>
      <c r="W16" s="22"/>
      <c r="X16" s="23"/>
      <c r="Y16" s="20">
        <f t="shared" si="2"/>
        <v>240578.5</v>
      </c>
      <c r="Z16" s="25">
        <f t="shared" si="0"/>
        <v>8.2514997909501844</v>
      </c>
    </row>
    <row r="17" spans="1:27" x14ac:dyDescent="0.25">
      <c r="A17" s="43" t="s">
        <v>37</v>
      </c>
      <c r="B17" s="30" t="s">
        <v>25</v>
      </c>
      <c r="C17" s="22">
        <v>12</v>
      </c>
      <c r="D17" s="22"/>
      <c r="E17" s="22"/>
      <c r="F17" s="22">
        <v>73</v>
      </c>
      <c r="G17" s="22"/>
      <c r="H17" s="22">
        <v>54</v>
      </c>
      <c r="I17" s="22"/>
      <c r="J17" s="22">
        <v>70</v>
      </c>
      <c r="K17" s="22"/>
      <c r="L17" s="22"/>
      <c r="M17" s="22"/>
      <c r="N17" s="22">
        <v>75</v>
      </c>
      <c r="O17" s="22">
        <v>75</v>
      </c>
      <c r="P17" s="22">
        <v>75</v>
      </c>
      <c r="Q17" s="22">
        <v>75</v>
      </c>
      <c r="R17" s="22">
        <v>80</v>
      </c>
      <c r="S17" s="20">
        <f t="shared" si="1"/>
        <v>760305.09999999986</v>
      </c>
      <c r="T17" s="21">
        <f t="shared" si="3"/>
        <v>42.856761971544373</v>
      </c>
      <c r="U17" s="33">
        <v>3</v>
      </c>
      <c r="V17" s="22">
        <v>97</v>
      </c>
      <c r="W17" s="22"/>
      <c r="X17" s="23">
        <v>100</v>
      </c>
      <c r="Y17" s="20">
        <f t="shared" si="2"/>
        <v>1100403.9099999999</v>
      </c>
      <c r="Z17" s="25">
        <f t="shared" si="0"/>
        <v>37.742286336167879</v>
      </c>
    </row>
    <row r="18" spans="1:27" x14ac:dyDescent="0.25">
      <c r="A18" s="35" t="s">
        <v>38</v>
      </c>
      <c r="B18" s="18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4</v>
      </c>
      <c r="V18" s="22"/>
      <c r="W18" s="22"/>
      <c r="X18" s="23"/>
      <c r="Y18" s="20">
        <f t="shared" si="2"/>
        <v>32766.240000000002</v>
      </c>
      <c r="Z18" s="25">
        <f t="shared" si="0"/>
        <v>1.1238353490034378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12</v>
      </c>
      <c r="V19" s="22"/>
      <c r="W19" s="22"/>
      <c r="X19" s="23"/>
      <c r="Y19" s="20">
        <f t="shared" si="2"/>
        <v>98298.72</v>
      </c>
      <c r="Z19" s="25">
        <f t="shared" si="0"/>
        <v>3.3715060470103131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2</v>
      </c>
      <c r="V20" s="22"/>
      <c r="W20" s="22"/>
      <c r="X20" s="23"/>
      <c r="Y20" s="20">
        <f t="shared" si="2"/>
        <v>16383.12</v>
      </c>
      <c r="Z20" s="25">
        <f t="shared" si="0"/>
        <v>0.56191767450171892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2</v>
      </c>
      <c r="V22" s="22"/>
      <c r="W22" s="22"/>
      <c r="X22" s="23"/>
      <c r="Y22" s="20">
        <f t="shared" si="2"/>
        <v>16383.12</v>
      </c>
      <c r="Z22" s="25">
        <f t="shared" si="0"/>
        <v>0.56191767450171892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7</v>
      </c>
      <c r="V23" s="22"/>
      <c r="W23" s="22"/>
      <c r="X23" s="23"/>
      <c r="Y23" s="20">
        <f t="shared" si="2"/>
        <v>57340.920000000006</v>
      </c>
      <c r="Z23" s="25">
        <f t="shared" si="0"/>
        <v>1.9667118607560163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>
        <v>10</v>
      </c>
      <c r="V24" s="22"/>
      <c r="W24" s="22"/>
      <c r="X24" s="23"/>
      <c r="Y24" s="20">
        <f t="shared" si="2"/>
        <v>81915.600000000006</v>
      </c>
      <c r="Z24" s="25">
        <f t="shared" si="0"/>
        <v>2.8095883725085948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22">
        <v>11</v>
      </c>
      <c r="V25" s="22"/>
      <c r="W25" s="22"/>
      <c r="X25" s="23"/>
      <c r="Y25" s="20">
        <f t="shared" si="2"/>
        <v>90107.16</v>
      </c>
      <c r="Z25" s="25">
        <f t="shared" si="0"/>
        <v>3.0905472097594537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22">
        <v>37</v>
      </c>
      <c r="V27" s="22"/>
      <c r="W27" s="22"/>
      <c r="X27" s="23"/>
      <c r="Y27" s="20">
        <f t="shared" si="2"/>
        <v>303087.71999999997</v>
      </c>
      <c r="Z27" s="25">
        <f t="shared" si="0"/>
        <v>10.395476978281797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22">
        <v>1</v>
      </c>
      <c r="V28" s="22"/>
      <c r="W28" s="22"/>
      <c r="X28" s="23"/>
      <c r="Y28" s="20">
        <f t="shared" si="2"/>
        <v>8191.56</v>
      </c>
      <c r="Z28" s="25">
        <f t="shared" si="0"/>
        <v>0.28095883725085946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4</v>
      </c>
      <c r="V29" s="38"/>
      <c r="W29" s="38"/>
      <c r="X29" s="41"/>
      <c r="Y29" s="39">
        <f t="shared" si="2"/>
        <v>32766.240000000002</v>
      </c>
      <c r="Z29" s="42">
        <f>Y29*100/$Y$31</f>
        <v>1.1238353490034378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100</v>
      </c>
      <c r="Q30" s="44">
        <f t="shared" si="5"/>
        <v>100</v>
      </c>
      <c r="R30" s="44">
        <f t="shared" si="5"/>
        <v>100</v>
      </c>
      <c r="S30" s="20">
        <f>+SUM(S6:S29)</f>
        <v>1774061</v>
      </c>
      <c r="T30" s="20">
        <f>+SUM(T6:T29)</f>
        <v>99.999999999999986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2915573.0000000005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208183</v>
      </c>
      <c r="D31" s="47">
        <v>1092</v>
      </c>
      <c r="E31" s="47">
        <v>45957</v>
      </c>
      <c r="F31" s="47">
        <v>168054</v>
      </c>
      <c r="G31" s="47">
        <v>481157</v>
      </c>
      <c r="H31" s="47">
        <v>85603</v>
      </c>
      <c r="I31" s="47">
        <v>0</v>
      </c>
      <c r="J31" s="47">
        <v>434012</v>
      </c>
      <c r="K31" s="47">
        <v>0</v>
      </c>
      <c r="L31" s="47">
        <v>0</v>
      </c>
      <c r="M31" s="47">
        <v>0</v>
      </c>
      <c r="N31" s="47">
        <v>18022</v>
      </c>
      <c r="O31" s="47">
        <v>292012</v>
      </c>
      <c r="P31" s="47">
        <v>293</v>
      </c>
      <c r="Q31" s="47">
        <v>37527</v>
      </c>
      <c r="R31" s="47">
        <v>2149</v>
      </c>
      <c r="S31" s="48">
        <f>SUM(C31:R31)</f>
        <v>1774061</v>
      </c>
      <c r="T31" s="48">
        <f>S31*100/$S$31</f>
        <v>100</v>
      </c>
      <c r="U31" s="47">
        <v>819156</v>
      </c>
      <c r="V31" s="47">
        <v>227729</v>
      </c>
      <c r="W31" s="47">
        <v>0</v>
      </c>
      <c r="X31" s="141">
        <v>94627</v>
      </c>
      <c r="Y31" s="48">
        <f>+S31+U31+V31+W31+X31</f>
        <v>2915573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 t="s">
        <v>177</v>
      </c>
      <c r="C36" s="22"/>
      <c r="D36" s="22"/>
      <c r="E36" s="22"/>
      <c r="F36" s="23"/>
      <c r="G36" s="10"/>
      <c r="X36" s="81"/>
    </row>
    <row r="37" spans="1:25" x14ac:dyDescent="0.25">
      <c r="A37" s="59" t="s">
        <v>57</v>
      </c>
      <c r="B37" s="22" t="s">
        <v>172</v>
      </c>
      <c r="C37" s="22"/>
      <c r="D37" s="22"/>
      <c r="E37" s="22"/>
      <c r="F37" s="23"/>
      <c r="G37" s="10"/>
    </row>
    <row r="38" spans="1:25" x14ac:dyDescent="0.25">
      <c r="A38" s="11" t="s">
        <v>57</v>
      </c>
      <c r="B38" s="38" t="s">
        <v>178</v>
      </c>
      <c r="C38" s="38"/>
      <c r="D38" s="38"/>
      <c r="E38" s="38"/>
      <c r="F38" s="41"/>
      <c r="G38" s="10"/>
      <c r="X38" s="81"/>
    </row>
    <row r="39" spans="1:25" x14ac:dyDescent="0.25">
      <c r="A39" t="s">
        <v>58</v>
      </c>
      <c r="G39" s="10"/>
      <c r="X39" s="81"/>
    </row>
    <row r="40" spans="1:25" ht="18.75" x14ac:dyDescent="0.3">
      <c r="A40" s="60"/>
      <c r="B40" s="61"/>
      <c r="X40" s="81"/>
    </row>
    <row r="41" spans="1:25" x14ac:dyDescent="0.25">
      <c r="A41" s="197"/>
      <c r="B41" s="197"/>
      <c r="C41" s="198"/>
      <c r="D41" s="198"/>
    </row>
    <row r="42" spans="1:25" ht="18.75" x14ac:dyDescent="0.3">
      <c r="B42" s="61"/>
      <c r="C42">
        <v>208183</v>
      </c>
      <c r="D42">
        <v>1092</v>
      </c>
      <c r="E42">
        <v>45957</v>
      </c>
      <c r="F42">
        <v>168054</v>
      </c>
      <c r="G42">
        <v>481157</v>
      </c>
      <c r="H42">
        <v>85603</v>
      </c>
      <c r="I42">
        <v>0</v>
      </c>
      <c r="J42">
        <v>434012</v>
      </c>
      <c r="K42">
        <v>0</v>
      </c>
      <c r="L42">
        <v>0</v>
      </c>
      <c r="M42">
        <v>0</v>
      </c>
      <c r="N42">
        <v>18022</v>
      </c>
      <c r="O42">
        <v>292012</v>
      </c>
      <c r="P42">
        <v>293</v>
      </c>
      <c r="Q42">
        <v>37527</v>
      </c>
      <c r="R42">
        <v>2149</v>
      </c>
      <c r="U42">
        <v>819156</v>
      </c>
      <c r="V42">
        <v>227729</v>
      </c>
      <c r="W42">
        <v>0</v>
      </c>
      <c r="X42">
        <v>94627</v>
      </c>
      <c r="Y42">
        <v>2915573</v>
      </c>
    </row>
    <row r="43" spans="1:25" x14ac:dyDescent="0.25">
      <c r="A43" s="10"/>
      <c r="C43" s="62"/>
      <c r="D43" s="62"/>
      <c r="E43" s="62"/>
    </row>
    <row r="44" spans="1:25" x14ac:dyDescent="0.25">
      <c r="A44" s="62"/>
      <c r="B44" s="62"/>
      <c r="C44" s="63"/>
      <c r="F44" s="64"/>
      <c r="G44" s="64"/>
    </row>
    <row r="45" spans="1:25" ht="18.75" x14ac:dyDescent="0.3">
      <c r="A45" s="60"/>
      <c r="B45" s="61"/>
    </row>
    <row r="46" spans="1:25" ht="18.75" x14ac:dyDescent="0.3">
      <c r="A46" s="60"/>
      <c r="B46" s="65"/>
    </row>
  </sheetData>
  <mergeCells count="3">
    <mergeCell ref="A1:Z2"/>
    <mergeCell ref="S4:T4"/>
    <mergeCell ref="Y4:Z4"/>
  </mergeCells>
  <pageMargins left="0.26" right="0.3" top="0.74803149606299213" bottom="0.74803149606299213" header="0.31496062992125984" footer="0.31496062992125984"/>
  <pageSetup paperSize="9" scale="5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C46"/>
  <sheetViews>
    <sheetView zoomScale="90" zoomScaleNormal="90" workbookViewId="0">
      <selection activeCell="N41" sqref="N41"/>
    </sheetView>
  </sheetViews>
  <sheetFormatPr defaultRowHeight="15" x14ac:dyDescent="0.25"/>
  <cols>
    <col min="1" max="1" width="32.7109375" customWidth="1"/>
    <col min="2" max="2" width="7.28515625" customWidth="1"/>
    <col min="3" max="3" width="8.140625" customWidth="1"/>
    <col min="4" max="4" width="12.5703125" customWidth="1"/>
    <col min="5" max="5" width="12.7109375" customWidth="1"/>
    <col min="6" max="6" width="8.140625" customWidth="1"/>
    <col min="7" max="7" width="8.140625" bestFit="1" customWidth="1"/>
    <col min="8" max="8" width="8.28515625" bestFit="1" customWidth="1"/>
    <col min="9" max="9" width="11" customWidth="1"/>
    <col min="10" max="10" width="9.140625" bestFit="1" customWidth="1"/>
    <col min="11" max="11" width="6" customWidth="1"/>
    <col min="12" max="12" width="7.42578125" customWidth="1"/>
    <col min="13" max="13" width="7.28515625" customWidth="1"/>
    <col min="14" max="14" width="8.7109375" bestFit="1" customWidth="1"/>
    <col min="15" max="15" width="9.42578125" customWidth="1"/>
    <col min="16" max="16" width="7" bestFit="1" customWidth="1"/>
    <col min="17" max="17" width="8.42578125" bestFit="1" customWidth="1"/>
    <col min="18" max="18" width="7.140625" bestFit="1" customWidth="1"/>
    <col min="19" max="19" width="10" customWidth="1"/>
    <col min="20" max="20" width="6.28515625" customWidth="1"/>
    <col min="21" max="21" width="9.85546875" customWidth="1"/>
    <col min="22" max="22" width="11.42578125" customWidth="1"/>
    <col min="23" max="23" width="9.140625" customWidth="1"/>
    <col min="24" max="24" width="12.85546875" customWidth="1"/>
    <col min="25" max="25" width="9.7109375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179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90" t="s">
        <v>1</v>
      </c>
      <c r="C4" s="190" t="s">
        <v>2</v>
      </c>
      <c r="D4" s="5" t="s">
        <v>3</v>
      </c>
      <c r="E4" s="5" t="s">
        <v>79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191" t="s">
        <v>15</v>
      </c>
      <c r="Q4" s="191" t="s">
        <v>16</v>
      </c>
      <c r="R4" s="191" t="s">
        <v>17</v>
      </c>
      <c r="S4" s="327" t="s">
        <v>18</v>
      </c>
      <c r="T4" s="328"/>
      <c r="U4" s="190" t="s">
        <v>19</v>
      </c>
      <c r="V4" s="191" t="s">
        <v>20</v>
      </c>
      <c r="W4" s="7" t="s">
        <v>21</v>
      </c>
      <c r="X4" s="7" t="s">
        <v>22</v>
      </c>
      <c r="Y4" s="329" t="s">
        <v>23</v>
      </c>
      <c r="Z4" s="330"/>
      <c r="AA4" s="187"/>
      <c r="AB4" s="187"/>
      <c r="AC4" s="187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8" t="s">
        <v>25</v>
      </c>
      <c r="U5" s="188" t="s">
        <v>25</v>
      </c>
      <c r="V5" s="188" t="s">
        <v>25</v>
      </c>
      <c r="W5" s="188" t="s">
        <v>25</v>
      </c>
      <c r="X5" s="189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20</v>
      </c>
      <c r="G6" s="19"/>
      <c r="H6" s="19">
        <v>20</v>
      </c>
      <c r="I6" s="19"/>
      <c r="J6" s="19">
        <v>10</v>
      </c>
      <c r="K6" s="19"/>
      <c r="L6" s="19"/>
      <c r="M6" s="19"/>
      <c r="N6" s="19">
        <v>25</v>
      </c>
      <c r="O6" s="19">
        <v>25</v>
      </c>
      <c r="P6" s="19"/>
      <c r="Q6" s="19">
        <v>25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34087.600000000006</v>
      </c>
      <c r="T6" s="21">
        <f>S6*100/$S$31</f>
        <v>10.102334458528318</v>
      </c>
      <c r="U6" s="22"/>
      <c r="V6" s="22"/>
      <c r="W6" s="22"/>
      <c r="X6" s="23"/>
      <c r="Y6" s="20">
        <f>U6/100*$U$31+V6/100*$V$31+W6/100*$W$31+X6/100*$X$31+S6</f>
        <v>34087.600000000006</v>
      </c>
      <c r="Z6" s="25">
        <f t="shared" ref="Z6:Z28" si="0">Y6*100/$Y$31</f>
        <v>5.5639507647910484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>
        <v>4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8710.64</v>
      </c>
      <c r="T7" s="21">
        <f>S7*100/$S$31</f>
        <v>2.5815193392270235</v>
      </c>
      <c r="U7" s="22">
        <v>4</v>
      </c>
      <c r="V7" s="22"/>
      <c r="W7" s="22"/>
      <c r="X7" s="23"/>
      <c r="Y7" s="20">
        <f t="shared" ref="Y7:Y29" si="2">U7/100*$U$31+V7/100*$V$31+W7/100*$W$31+X7/100*$X$31+S7</f>
        <v>17763.16</v>
      </c>
      <c r="Z7" s="25">
        <f t="shared" si="0"/>
        <v>2.8993929659789996</v>
      </c>
    </row>
    <row r="8" spans="1:29" x14ac:dyDescent="0.25">
      <c r="A8" s="3" t="s">
        <v>28</v>
      </c>
      <c r="B8" s="27" t="s">
        <v>25</v>
      </c>
      <c r="C8" s="22">
        <v>30</v>
      </c>
      <c r="D8" s="22"/>
      <c r="E8" s="22"/>
      <c r="F8" s="22">
        <v>10</v>
      </c>
      <c r="G8" s="22"/>
      <c r="H8" s="22"/>
      <c r="I8" s="22"/>
      <c r="J8" s="22">
        <v>25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57360.2</v>
      </c>
      <c r="T8" s="21">
        <f>S8*100/$S$31</f>
        <v>16.999493217711894</v>
      </c>
      <c r="U8" s="22"/>
      <c r="V8" s="22"/>
      <c r="W8" s="22"/>
      <c r="X8" s="23"/>
      <c r="Y8" s="20">
        <f t="shared" si="2"/>
        <v>57360.2</v>
      </c>
      <c r="Z8" s="25">
        <f t="shared" si="0"/>
        <v>9.3626224392027435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>
        <v>60</v>
      </c>
      <c r="D12" s="22"/>
      <c r="E12" s="22"/>
      <c r="F12" s="22"/>
      <c r="G12" s="22"/>
      <c r="H12" s="22"/>
      <c r="I12" s="22"/>
      <c r="J12" s="22">
        <v>20</v>
      </c>
      <c r="K12" s="22"/>
      <c r="L12" s="22"/>
      <c r="M12" s="22"/>
      <c r="N12" s="22"/>
      <c r="O12" s="22"/>
      <c r="P12" s="22"/>
      <c r="Q12" s="22"/>
      <c r="R12" s="22"/>
      <c r="S12" s="20">
        <f t="shared" si="1"/>
        <v>44854.600000000006</v>
      </c>
      <c r="T12" s="21">
        <f t="shared" si="3"/>
        <v>13.293284690136716</v>
      </c>
      <c r="U12" s="22"/>
      <c r="V12" s="22"/>
      <c r="W12" s="22"/>
      <c r="X12" s="23"/>
      <c r="Y12" s="20">
        <f t="shared" si="2"/>
        <v>44854.600000000006</v>
      </c>
      <c r="Z12" s="25">
        <f t="shared" si="0"/>
        <v>7.3213950519953466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>
        <v>10</v>
      </c>
      <c r="D15" s="22"/>
      <c r="E15" s="22">
        <v>100</v>
      </c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34259.9</v>
      </c>
      <c r="T15" s="21">
        <f t="shared" si="3"/>
        <v>10.153397960423563</v>
      </c>
      <c r="U15" s="22"/>
      <c r="V15" s="33"/>
      <c r="W15" s="22"/>
      <c r="X15" s="23"/>
      <c r="Y15" s="20">
        <f t="shared" si="2"/>
        <v>34259.9</v>
      </c>
      <c r="Z15" s="25">
        <f t="shared" si="0"/>
        <v>5.5920744436881682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29092</v>
      </c>
      <c r="T16" s="21">
        <f t="shared" si="3"/>
        <v>8.621818903868439</v>
      </c>
      <c r="U16" s="22"/>
      <c r="V16" s="33"/>
      <c r="W16" s="22"/>
      <c r="X16" s="23"/>
      <c r="Y16" s="20">
        <f t="shared" si="2"/>
        <v>29092</v>
      </c>
      <c r="Z16" s="25">
        <f t="shared" si="0"/>
        <v>4.7485436243473034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70</v>
      </c>
      <c r="G17" s="22"/>
      <c r="H17" s="22">
        <v>80</v>
      </c>
      <c r="I17" s="22"/>
      <c r="J17" s="22">
        <v>41</v>
      </c>
      <c r="K17" s="22"/>
      <c r="L17" s="22"/>
      <c r="M17" s="22"/>
      <c r="N17" s="22">
        <v>75</v>
      </c>
      <c r="O17" s="22">
        <v>75</v>
      </c>
      <c r="P17" s="22"/>
      <c r="Q17" s="22">
        <v>75</v>
      </c>
      <c r="R17" s="22"/>
      <c r="S17" s="20">
        <f t="shared" si="1"/>
        <v>129049.06</v>
      </c>
      <c r="T17" s="21">
        <f t="shared" si="3"/>
        <v>38.245484154903487</v>
      </c>
      <c r="U17" s="33"/>
      <c r="V17" s="22">
        <v>100</v>
      </c>
      <c r="W17" s="22"/>
      <c r="X17" s="23">
        <v>100</v>
      </c>
      <c r="Y17" s="20">
        <f t="shared" si="2"/>
        <v>177964.06</v>
      </c>
      <c r="Z17" s="25">
        <f t="shared" si="0"/>
        <v>29.048195465281211</v>
      </c>
    </row>
    <row r="18" spans="1:27" x14ac:dyDescent="0.25">
      <c r="A18" s="35" t="s">
        <v>38</v>
      </c>
      <c r="B18" s="192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3</v>
      </c>
      <c r="V18" s="22"/>
      <c r="W18" s="22"/>
      <c r="X18" s="23"/>
      <c r="Y18" s="20">
        <f t="shared" si="2"/>
        <v>6789.3899999999994</v>
      </c>
      <c r="Z18" s="25">
        <f t="shared" si="0"/>
        <v>1.1081986318474955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14</v>
      </c>
      <c r="V19" s="22"/>
      <c r="W19" s="22"/>
      <c r="X19" s="23"/>
      <c r="Y19" s="20">
        <f t="shared" si="2"/>
        <v>31683.820000000003</v>
      </c>
      <c r="Z19" s="25">
        <f t="shared" si="0"/>
        <v>5.1715936152883133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/>
      <c r="V20" s="22"/>
      <c r="W20" s="22"/>
      <c r="X20" s="23"/>
      <c r="Y20" s="20">
        <f t="shared" si="2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4</v>
      </c>
      <c r="V21" s="22"/>
      <c r="W21" s="22"/>
      <c r="X21" s="23"/>
      <c r="Y21" s="20">
        <f t="shared" si="2"/>
        <v>9052.52</v>
      </c>
      <c r="Z21" s="25">
        <f t="shared" si="0"/>
        <v>1.4775981757966608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10</v>
      </c>
      <c r="V23" s="22"/>
      <c r="W23" s="22"/>
      <c r="X23" s="23"/>
      <c r="Y23" s="20">
        <f t="shared" si="2"/>
        <v>22631.300000000003</v>
      </c>
      <c r="Z23" s="25">
        <f t="shared" si="0"/>
        <v>3.6939954394916525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7</v>
      </c>
      <c r="V24" s="22"/>
      <c r="W24" s="22"/>
      <c r="X24" s="23"/>
      <c r="Y24" s="20">
        <f t="shared" si="2"/>
        <v>15841.910000000002</v>
      </c>
      <c r="Z24" s="25">
        <f t="shared" si="0"/>
        <v>2.5857968076441566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12</v>
      </c>
      <c r="V25" s="22"/>
      <c r="W25" s="22"/>
      <c r="X25" s="23"/>
      <c r="Y25" s="20">
        <f t="shared" si="2"/>
        <v>27157.559999999998</v>
      </c>
      <c r="Z25" s="25">
        <f t="shared" si="0"/>
        <v>4.4327945273899818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33">
        <v>5</v>
      </c>
      <c r="V26" s="22"/>
      <c r="W26" s="22"/>
      <c r="X26" s="23"/>
      <c r="Y26" s="20">
        <f t="shared" si="2"/>
        <v>11315.650000000001</v>
      </c>
      <c r="Z26" s="25">
        <f t="shared" si="0"/>
        <v>1.8469977197458263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30</v>
      </c>
      <c r="V27" s="22"/>
      <c r="W27" s="22"/>
      <c r="X27" s="23"/>
      <c r="Y27" s="20">
        <f t="shared" si="2"/>
        <v>67893.899999999994</v>
      </c>
      <c r="Z27" s="25">
        <f t="shared" si="0"/>
        <v>11.081986318474954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1</v>
      </c>
      <c r="V28" s="22"/>
      <c r="W28" s="22"/>
      <c r="X28" s="23"/>
      <c r="Y28" s="20">
        <f t="shared" si="2"/>
        <v>2263.13</v>
      </c>
      <c r="Z28" s="25">
        <f t="shared" si="0"/>
        <v>0.36939954394916519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10</v>
      </c>
      <c r="V29" s="38"/>
      <c r="W29" s="38"/>
      <c r="X29" s="41"/>
      <c r="Y29" s="39">
        <f t="shared" si="2"/>
        <v>22631.300000000003</v>
      </c>
      <c r="Z29" s="42">
        <f>Y29*100/$Y$31</f>
        <v>3.6939954394916525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337414</v>
      </c>
      <c r="T30" s="20">
        <f>+SUM(T6:T29)</f>
        <v>99.997332724799435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612642.00000000012</v>
      </c>
      <c r="Z30" s="42">
        <f>SUM(Z6:Z29)</f>
        <v>99.998530974404716</v>
      </c>
    </row>
    <row r="31" spans="1:27" ht="15.75" thickBot="1" x14ac:dyDescent="0.3">
      <c r="A31" s="45" t="s">
        <v>51</v>
      </c>
      <c r="B31" s="46" t="s">
        <v>24</v>
      </c>
      <c r="C31" s="47">
        <v>2169</v>
      </c>
      <c r="D31" s="47">
        <v>9</v>
      </c>
      <c r="E31" s="47">
        <v>4951</v>
      </c>
      <c r="F31" s="47">
        <v>22680</v>
      </c>
      <c r="G31" s="47">
        <v>58184</v>
      </c>
      <c r="H31" s="47">
        <v>2820</v>
      </c>
      <c r="I31" s="47">
        <v>0</v>
      </c>
      <c r="J31" s="47">
        <v>217766</v>
      </c>
      <c r="K31" s="47">
        <v>0</v>
      </c>
      <c r="L31" s="47">
        <v>0</v>
      </c>
      <c r="M31" s="47">
        <v>0</v>
      </c>
      <c r="N31" s="47">
        <v>1140</v>
      </c>
      <c r="O31" s="47">
        <v>23186</v>
      </c>
      <c r="P31" s="47">
        <v>0</v>
      </c>
      <c r="Q31" s="47">
        <v>4518</v>
      </c>
      <c r="R31" s="47">
        <v>0</v>
      </c>
      <c r="S31" s="48">
        <f>SUM(C31:R31)</f>
        <v>337423</v>
      </c>
      <c r="T31" s="48">
        <f>S31*100/$S$31</f>
        <v>100</v>
      </c>
      <c r="U31" s="47">
        <v>226313</v>
      </c>
      <c r="V31" s="47">
        <v>30050</v>
      </c>
      <c r="W31" s="47">
        <v>0</v>
      </c>
      <c r="X31" s="141">
        <v>18865</v>
      </c>
      <c r="Y31" s="48">
        <f>+S31+U31+V31+W31+X31</f>
        <v>612651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4" x14ac:dyDescent="0.25">
      <c r="A33" s="55"/>
      <c r="S33" s="1"/>
    </row>
    <row r="34" spans="1:24" x14ac:dyDescent="0.25">
      <c r="A34" s="56" t="s">
        <v>53</v>
      </c>
      <c r="B34" s="57"/>
      <c r="C34" s="57"/>
      <c r="D34" s="57"/>
      <c r="E34" s="57"/>
      <c r="F34" s="58"/>
      <c r="G34" s="10"/>
    </row>
    <row r="35" spans="1:24" x14ac:dyDescent="0.25">
      <c r="A35" s="59" t="s">
        <v>54</v>
      </c>
      <c r="B35" s="22"/>
      <c r="C35" s="22"/>
      <c r="D35" s="22"/>
      <c r="E35" s="22"/>
      <c r="F35" s="23"/>
      <c r="G35" s="10"/>
    </row>
    <row r="36" spans="1:24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4" x14ac:dyDescent="0.25">
      <c r="A37" s="59" t="s">
        <v>57</v>
      </c>
      <c r="B37" s="22" t="s">
        <v>178</v>
      </c>
      <c r="C37" s="22"/>
      <c r="D37" s="22"/>
      <c r="E37" s="22"/>
      <c r="F37" s="23"/>
      <c r="G37" s="10"/>
    </row>
    <row r="38" spans="1:24" x14ac:dyDescent="0.25">
      <c r="A38" s="11" t="s">
        <v>57</v>
      </c>
      <c r="B38" s="38" t="s">
        <v>172</v>
      </c>
      <c r="C38" s="38"/>
      <c r="D38" s="38"/>
      <c r="E38" s="38"/>
      <c r="F38" s="41"/>
      <c r="G38" s="10"/>
      <c r="X38" s="81"/>
    </row>
    <row r="39" spans="1:24" x14ac:dyDescent="0.25">
      <c r="A39" t="s">
        <v>58</v>
      </c>
      <c r="G39" s="10"/>
      <c r="X39" s="81"/>
    </row>
    <row r="40" spans="1:24" ht="18.75" x14ac:dyDescent="0.3">
      <c r="A40" s="60"/>
      <c r="B40" s="61"/>
      <c r="X40" s="81"/>
    </row>
    <row r="41" spans="1:24" ht="18.75" x14ac:dyDescent="0.3">
      <c r="A41" s="60"/>
      <c r="B41" s="61"/>
    </row>
    <row r="42" spans="1:24" ht="18.75" x14ac:dyDescent="0.3">
      <c r="B42" s="61"/>
    </row>
    <row r="43" spans="1:24" x14ac:dyDescent="0.25">
      <c r="A43" s="10" t="s">
        <v>96</v>
      </c>
      <c r="C43" s="62" t="s">
        <v>97</v>
      </c>
      <c r="D43" s="62"/>
      <c r="E43" s="62"/>
    </row>
    <row r="44" spans="1:24" x14ac:dyDescent="0.25">
      <c r="A44" s="62" t="s">
        <v>180</v>
      </c>
      <c r="B44" s="62"/>
      <c r="C44" s="63">
        <v>612654</v>
      </c>
      <c r="F44" s="64"/>
      <c r="G44" s="64"/>
    </row>
    <row r="45" spans="1:24" ht="18.75" x14ac:dyDescent="0.3">
      <c r="A45" s="60"/>
      <c r="B45" s="61"/>
    </row>
    <row r="46" spans="1:24" ht="18.75" x14ac:dyDescent="0.3">
      <c r="A46" s="60"/>
      <c r="B46" s="65"/>
    </row>
  </sheetData>
  <mergeCells count="3">
    <mergeCell ref="A1:Z2"/>
    <mergeCell ref="S4:T4"/>
    <mergeCell ref="Y4:Z4"/>
  </mergeCells>
  <pageMargins left="0.28999999999999998" right="0.3" top="0.74803149606299213" bottom="0.74803149606299213" header="0.31496062992125984" footer="0.31496062992125984"/>
  <pageSetup paperSize="9" scale="5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C48"/>
  <sheetViews>
    <sheetView zoomScale="90" zoomScaleNormal="90" workbookViewId="0">
      <selection activeCell="M40" sqref="M40"/>
    </sheetView>
  </sheetViews>
  <sheetFormatPr defaultRowHeight="15" x14ac:dyDescent="0.25"/>
  <cols>
    <col min="1" max="1" width="32.140625" customWidth="1"/>
    <col min="2" max="2" width="6.42578125" customWidth="1"/>
    <col min="3" max="3" width="8.28515625" customWidth="1"/>
    <col min="4" max="4" width="12.5703125" customWidth="1"/>
    <col min="5" max="5" width="12.42578125" customWidth="1"/>
    <col min="6" max="6" width="10" customWidth="1"/>
    <col min="7" max="7" width="8.5703125" customWidth="1"/>
    <col min="8" max="8" width="8.28515625" bestFit="1" customWidth="1"/>
    <col min="9" max="9" width="12" customWidth="1"/>
    <col min="10" max="10" width="9" bestFit="1" customWidth="1"/>
    <col min="11" max="11" width="6.5703125" customWidth="1"/>
    <col min="12" max="13" width="6.28515625" customWidth="1"/>
    <col min="14" max="14" width="7.85546875" bestFit="1" customWidth="1"/>
    <col min="15" max="15" width="9.28515625" customWidth="1"/>
    <col min="16" max="16" width="7.85546875" customWidth="1"/>
    <col min="17" max="17" width="7.7109375" customWidth="1"/>
    <col min="18" max="18" width="7.5703125" customWidth="1"/>
    <col min="19" max="19" width="9.42578125" customWidth="1"/>
    <col min="20" max="20" width="7.42578125" customWidth="1"/>
    <col min="21" max="21" width="9.5703125" customWidth="1"/>
    <col min="22" max="22" width="11.42578125" customWidth="1"/>
    <col min="23" max="23" width="9.28515625" bestFit="1" customWidth="1"/>
    <col min="24" max="24" width="13.5703125" customWidth="1"/>
    <col min="25" max="25" width="10" customWidth="1"/>
    <col min="26" max="26" width="6.28515625" customWidth="1"/>
    <col min="27" max="27" width="1.85546875" customWidth="1"/>
  </cols>
  <sheetData>
    <row r="1" spans="1:29" ht="15" customHeight="1" x14ac:dyDescent="0.25">
      <c r="A1" s="325" t="s">
        <v>181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90" t="s">
        <v>1</v>
      </c>
      <c r="C4" s="190" t="s">
        <v>2</v>
      </c>
      <c r="D4" s="5" t="s">
        <v>3</v>
      </c>
      <c r="E4" s="5" t="s">
        <v>79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191" t="s">
        <v>15</v>
      </c>
      <c r="Q4" s="191" t="s">
        <v>16</v>
      </c>
      <c r="R4" s="191" t="s">
        <v>17</v>
      </c>
      <c r="S4" s="327" t="s">
        <v>18</v>
      </c>
      <c r="T4" s="328"/>
      <c r="U4" s="190" t="s">
        <v>19</v>
      </c>
      <c r="V4" s="191" t="s">
        <v>20</v>
      </c>
      <c r="W4" s="7" t="s">
        <v>21</v>
      </c>
      <c r="X4" s="7" t="s">
        <v>22</v>
      </c>
      <c r="Y4" s="329" t="s">
        <v>23</v>
      </c>
      <c r="Z4" s="330"/>
      <c r="AA4" s="187"/>
      <c r="AB4" s="187"/>
      <c r="AC4" s="187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88" t="s">
        <v>25</v>
      </c>
      <c r="U5" s="188" t="s">
        <v>25</v>
      </c>
      <c r="V5" s="188" t="s">
        <v>25</v>
      </c>
      <c r="W5" s="188" t="s">
        <v>25</v>
      </c>
      <c r="X5" s="189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15</v>
      </c>
      <c r="K6" s="19"/>
      <c r="L6" s="19"/>
      <c r="M6" s="19"/>
      <c r="N6" s="19">
        <v>25</v>
      </c>
      <c r="O6" s="19">
        <v>25</v>
      </c>
      <c r="P6" s="19"/>
      <c r="Q6" s="19">
        <v>25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5871.2</v>
      </c>
      <c r="T6" s="21">
        <f>S6*100/$S$31</f>
        <v>9.4929504591902738</v>
      </c>
      <c r="U6" s="22"/>
      <c r="V6" s="22"/>
      <c r="W6" s="22"/>
      <c r="X6" s="23"/>
      <c r="Y6" s="20">
        <f>U6/100*$U$31+V6/100*$V$31+W6/100*$W$31+X6/100*$X$31+S6</f>
        <v>5871.2</v>
      </c>
      <c r="Z6" s="25">
        <f t="shared" ref="Z6:Z28" si="0">Y6*100/$Y$31</f>
        <v>2.1970340489385669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10</v>
      </c>
      <c r="G7" s="22"/>
      <c r="H7" s="22">
        <v>10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8" si="1">C7/100*$C$31+D7/100*$D$31+E7/100*$E$31+F7/100*$F$31+G7/100*$G$31+H7/100*$H$31+I7/100*$I$31+J7/100*$J$31+K7/100*$K$31+L7/100*$L$31+M7/100*$M$31+N7/100*$N$31+O7/100*$O$31+P7/100*$P$31+Q7/100*$Q$31+R7/100*$R$31</f>
        <v>534.40000000000009</v>
      </c>
      <c r="T7" s="21">
        <f>S7*100/$S$31</f>
        <v>0.86405380933902487</v>
      </c>
      <c r="U7" s="22"/>
      <c r="V7" s="22"/>
      <c r="W7" s="22"/>
      <c r="X7" s="23"/>
      <c r="Y7" s="20">
        <f t="shared" ref="Y7:Y29" si="2">U7/100*$U$31+V7/100*$V$31+W7/100*$W$31+X7/100*$X$31+S7</f>
        <v>534.40000000000009</v>
      </c>
      <c r="Z7" s="25">
        <f t="shared" si="0"/>
        <v>0.19997530245141884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>
        <v>10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1574.4</v>
      </c>
      <c r="T8" s="21">
        <f>S8*100/$S$31</f>
        <v>2.5455956538610787</v>
      </c>
      <c r="U8" s="22"/>
      <c r="V8" s="22"/>
      <c r="W8" s="22"/>
      <c r="X8" s="23"/>
      <c r="Y8" s="20">
        <f t="shared" si="2"/>
        <v>1574.4</v>
      </c>
      <c r="Z8" s="25">
        <f t="shared" si="0"/>
        <v>0.58914879524609609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>
        <v>100</v>
      </c>
      <c r="D15" s="22">
        <v>100</v>
      </c>
      <c r="E15" s="22">
        <v>100</v>
      </c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16551.5</v>
      </c>
      <c r="T15" s="21">
        <f t="shared" si="3"/>
        <v>26.76157676885267</v>
      </c>
      <c r="U15" s="22"/>
      <c r="V15" s="33"/>
      <c r="W15" s="22"/>
      <c r="X15" s="23"/>
      <c r="Y15" s="20">
        <f t="shared" si="2"/>
        <v>16551.5</v>
      </c>
      <c r="Z15" s="25">
        <f t="shared" si="0"/>
        <v>6.1936587172991358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13376.5</v>
      </c>
      <c r="T16" s="21">
        <f t="shared" si="3"/>
        <v>21.628023541585822</v>
      </c>
      <c r="U16" s="22"/>
      <c r="V16" s="33"/>
      <c r="W16" s="22"/>
      <c r="X16" s="23"/>
      <c r="Y16" s="20">
        <f t="shared" si="2"/>
        <v>13376.5</v>
      </c>
      <c r="Z16" s="25">
        <f t="shared" si="0"/>
        <v>5.0055569484307698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75</v>
      </c>
      <c r="G17" s="22"/>
      <c r="H17" s="22">
        <v>75</v>
      </c>
      <c r="I17" s="22"/>
      <c r="J17" s="22">
        <v>75</v>
      </c>
      <c r="K17" s="22"/>
      <c r="L17" s="22"/>
      <c r="M17" s="22"/>
      <c r="N17" s="22">
        <v>75</v>
      </c>
      <c r="O17" s="22">
        <v>75</v>
      </c>
      <c r="P17" s="22"/>
      <c r="Q17" s="22">
        <v>75</v>
      </c>
      <c r="R17" s="22"/>
      <c r="S17" s="20">
        <f t="shared" si="1"/>
        <v>23940</v>
      </c>
      <c r="T17" s="21">
        <f t="shared" si="3"/>
        <v>38.707799767171132</v>
      </c>
      <c r="U17" s="33"/>
      <c r="V17" s="22">
        <v>100</v>
      </c>
      <c r="W17" s="22"/>
      <c r="X17" s="23">
        <v>100</v>
      </c>
      <c r="Y17" s="20">
        <f t="shared" si="2"/>
        <v>135226</v>
      </c>
      <c r="Z17" s="25">
        <f t="shared" si="0"/>
        <v>50.602283400627918</v>
      </c>
    </row>
    <row r="18" spans="1:27" x14ac:dyDescent="0.25">
      <c r="A18" s="35" t="s">
        <v>38</v>
      </c>
      <c r="B18" s="192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7</v>
      </c>
      <c r="V18" s="22"/>
      <c r="W18" s="22"/>
      <c r="X18" s="23"/>
      <c r="Y18" s="20">
        <f t="shared" si="2"/>
        <v>6586.93</v>
      </c>
      <c r="Z18" s="25">
        <f t="shared" si="0"/>
        <v>2.4648639950904268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15</v>
      </c>
      <c r="V19" s="22"/>
      <c r="W19" s="22"/>
      <c r="X19" s="23"/>
      <c r="Y19" s="20">
        <f>U19/100*$U$31+V19/100*$V$31+W19/100*$W$31+X19/100*$X$31+S19</f>
        <v>14114.85</v>
      </c>
      <c r="Z19" s="25">
        <f>Y19*100/$Y$31</f>
        <v>5.2818514180509144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2</v>
      </c>
      <c r="V20" s="22"/>
      <c r="W20" s="22"/>
      <c r="X20" s="23"/>
      <c r="Y20" s="20">
        <f t="shared" si="2"/>
        <v>1881.98</v>
      </c>
      <c r="Z20" s="25">
        <f t="shared" si="0"/>
        <v>0.70424685574012191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20</v>
      </c>
      <c r="V23" s="22"/>
      <c r="W23" s="22"/>
      <c r="X23" s="23"/>
      <c r="Y23" s="20">
        <f t="shared" si="2"/>
        <v>18819.8</v>
      </c>
      <c r="Z23" s="25">
        <f t="shared" si="0"/>
        <v>7.0424685574012189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10</v>
      </c>
      <c r="V24" s="22"/>
      <c r="W24" s="22"/>
      <c r="X24" s="23"/>
      <c r="Y24" s="20">
        <f t="shared" si="2"/>
        <v>9409.9</v>
      </c>
      <c r="Z24" s="25">
        <f t="shared" si="0"/>
        <v>3.5212342787006095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>S25*100/$S$31</f>
        <v>0</v>
      </c>
      <c r="U25" s="33">
        <v>15</v>
      </c>
      <c r="V25" s="22"/>
      <c r="W25" s="22"/>
      <c r="X25" s="23"/>
      <c r="Y25" s="20">
        <f t="shared" si="2"/>
        <v>14114.85</v>
      </c>
      <c r="Z25" s="25">
        <f t="shared" si="0"/>
        <v>5.2818514180509144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33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25</v>
      </c>
      <c r="V27" s="22"/>
      <c r="W27" s="22"/>
      <c r="X27" s="23"/>
      <c r="Y27" s="20">
        <f t="shared" si="2"/>
        <v>23524.75</v>
      </c>
      <c r="Z27" s="25">
        <f t="shared" si="0"/>
        <v>8.8030856967515234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1</v>
      </c>
      <c r="V28" s="22"/>
      <c r="W28" s="22"/>
      <c r="X28" s="23"/>
      <c r="Y28" s="20">
        <f t="shared" si="2"/>
        <v>940.99</v>
      </c>
      <c r="Z28" s="25">
        <f t="shared" si="0"/>
        <v>0.35212342787006096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>C29/100*$C$31+D29/100*$D$31+E29/100*$E$31+F29/100*$F$31+G29/100*$G$31+H29/100*$H$31+I29/100*$I$31+J29/100*$J$31+K29/100*$K$31+L29/100*$L$31+M29/100*$M$31+N29/100*$N$31+O29/100*$O$31+P29/100*$P$31+Q29/100*$Q$31+R29/100*$R$31</f>
        <v>0</v>
      </c>
      <c r="T29" s="40">
        <f t="shared" si="4"/>
        <v>0</v>
      </c>
      <c r="U29" s="38">
        <v>5</v>
      </c>
      <c r="V29" s="38"/>
      <c r="W29" s="38"/>
      <c r="X29" s="41"/>
      <c r="Y29" s="39">
        <f t="shared" si="2"/>
        <v>4704.95</v>
      </c>
      <c r="Z29" s="42">
        <f>Y29*100/$Y$31</f>
        <v>1.7606171393503047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61848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267233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61</v>
      </c>
      <c r="D31" s="47">
        <v>287</v>
      </c>
      <c r="E31" s="47">
        <v>2827</v>
      </c>
      <c r="F31" s="47">
        <v>3098</v>
      </c>
      <c r="G31" s="47">
        <v>26753</v>
      </c>
      <c r="H31" s="47">
        <v>2246</v>
      </c>
      <c r="I31" s="47">
        <v>0</v>
      </c>
      <c r="J31" s="47">
        <v>15744</v>
      </c>
      <c r="K31" s="47">
        <v>0</v>
      </c>
      <c r="L31" s="47">
        <v>0</v>
      </c>
      <c r="M31" s="47">
        <v>0</v>
      </c>
      <c r="N31" s="47">
        <v>444</v>
      </c>
      <c r="O31" s="47">
        <v>8292</v>
      </c>
      <c r="P31" s="47">
        <v>0</v>
      </c>
      <c r="Q31" s="47">
        <v>2096</v>
      </c>
      <c r="R31" s="47">
        <v>0</v>
      </c>
      <c r="S31" s="48">
        <f>SUM(C31:R31)</f>
        <v>61848</v>
      </c>
      <c r="T31" s="48">
        <f>S31*100/$S$31</f>
        <v>100</v>
      </c>
      <c r="U31" s="47">
        <v>94099</v>
      </c>
      <c r="V31" s="47">
        <v>92173</v>
      </c>
      <c r="W31" s="47">
        <v>0</v>
      </c>
      <c r="X31" s="141">
        <v>19113</v>
      </c>
      <c r="Y31" s="48">
        <f>+S31+U31+V31+W31+X31</f>
        <v>267233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4" x14ac:dyDescent="0.25">
      <c r="A33" s="55"/>
      <c r="S33" s="1"/>
    </row>
    <row r="34" spans="1:24" x14ac:dyDescent="0.25">
      <c r="A34" s="56" t="s">
        <v>53</v>
      </c>
      <c r="B34" s="57"/>
      <c r="C34" s="57"/>
      <c r="D34" s="57"/>
      <c r="E34" s="57"/>
      <c r="F34" s="58"/>
      <c r="G34" s="10"/>
    </row>
    <row r="35" spans="1:24" x14ac:dyDescent="0.25">
      <c r="A35" s="59" t="s">
        <v>54</v>
      </c>
      <c r="B35" s="22"/>
      <c r="C35" s="22"/>
      <c r="D35" s="22"/>
      <c r="E35" s="22"/>
      <c r="F35" s="23"/>
      <c r="G35" s="10"/>
    </row>
    <row r="36" spans="1:24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4" x14ac:dyDescent="0.25">
      <c r="A37" s="59" t="s">
        <v>57</v>
      </c>
      <c r="B37" s="22" t="s">
        <v>178</v>
      </c>
      <c r="C37" s="22"/>
      <c r="D37" s="22"/>
      <c r="E37" s="22"/>
      <c r="F37" s="23"/>
      <c r="G37" s="10"/>
    </row>
    <row r="38" spans="1:24" x14ac:dyDescent="0.25">
      <c r="A38" s="11" t="s">
        <v>57</v>
      </c>
      <c r="B38" s="38" t="s">
        <v>182</v>
      </c>
      <c r="C38" s="38"/>
      <c r="D38" s="38"/>
      <c r="E38" s="38"/>
      <c r="F38" s="41"/>
      <c r="G38" s="10"/>
      <c r="X38" s="81"/>
    </row>
    <row r="39" spans="1:24" x14ac:dyDescent="0.25">
      <c r="A39" t="s">
        <v>58</v>
      </c>
      <c r="G39" s="10"/>
      <c r="X39" s="81"/>
    </row>
    <row r="40" spans="1:24" ht="18.75" x14ac:dyDescent="0.3">
      <c r="A40" s="60"/>
      <c r="B40" s="61"/>
      <c r="X40" s="81"/>
    </row>
    <row r="41" spans="1:24" ht="18.75" x14ac:dyDescent="0.3">
      <c r="A41" s="60"/>
      <c r="B41" s="61"/>
    </row>
    <row r="42" spans="1:24" ht="18.75" x14ac:dyDescent="0.3">
      <c r="B42" s="61"/>
    </row>
    <row r="43" spans="1:24" x14ac:dyDescent="0.25">
      <c r="A43" s="10" t="s">
        <v>96</v>
      </c>
      <c r="C43" s="62" t="s">
        <v>97</v>
      </c>
      <c r="D43" s="62"/>
      <c r="E43" s="62"/>
    </row>
    <row r="44" spans="1:24" x14ac:dyDescent="0.25">
      <c r="A44" s="62" t="s">
        <v>183</v>
      </c>
      <c r="B44" s="62"/>
      <c r="C44" s="63">
        <v>267231</v>
      </c>
      <c r="F44" s="64"/>
      <c r="G44" s="64"/>
    </row>
    <row r="45" spans="1:24" ht="18.75" x14ac:dyDescent="0.3">
      <c r="A45" s="60"/>
      <c r="B45" s="61"/>
    </row>
    <row r="46" spans="1:24" ht="18.75" x14ac:dyDescent="0.3">
      <c r="A46" s="60"/>
      <c r="B46" s="61"/>
    </row>
    <row r="47" spans="1:24" ht="18.75" x14ac:dyDescent="0.3">
      <c r="A47" s="142"/>
      <c r="B47" s="65"/>
    </row>
    <row r="48" spans="1:24" ht="18.75" x14ac:dyDescent="0.3">
      <c r="A48" s="60"/>
      <c r="B48" s="65"/>
    </row>
  </sheetData>
  <mergeCells count="3">
    <mergeCell ref="A1:Z2"/>
    <mergeCell ref="S4:T4"/>
    <mergeCell ref="Y4:Z4"/>
  </mergeCells>
  <pageMargins left="0.31" right="0.32" top="0.74803149606299213" bottom="0.74803149606299213" header="0.31496062992125984" footer="0.31496062992125984"/>
  <pageSetup paperSize="9" scale="5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C47"/>
  <sheetViews>
    <sheetView zoomScale="90" zoomScaleNormal="90" workbookViewId="0">
      <selection activeCell="A3" sqref="A3"/>
    </sheetView>
  </sheetViews>
  <sheetFormatPr defaultRowHeight="15" x14ac:dyDescent="0.25"/>
  <cols>
    <col min="1" max="1" width="31.5703125" customWidth="1"/>
    <col min="2" max="2" width="7.28515625" customWidth="1"/>
    <col min="3" max="3" width="8.7109375" customWidth="1"/>
    <col min="4" max="4" width="12.42578125" customWidth="1"/>
    <col min="5" max="5" width="12.7109375" customWidth="1"/>
    <col min="6" max="6" width="9.5703125" customWidth="1"/>
    <col min="7" max="7" width="9.140625" bestFit="1" customWidth="1"/>
    <col min="8" max="8" width="8.28515625" bestFit="1" customWidth="1"/>
    <col min="9" max="9" width="11.42578125" customWidth="1"/>
    <col min="10" max="10" width="9.140625" bestFit="1" customWidth="1"/>
    <col min="11" max="11" width="6.140625" customWidth="1"/>
    <col min="12" max="12" width="5.28515625" bestFit="1" customWidth="1"/>
    <col min="13" max="13" width="6.85546875" customWidth="1"/>
    <col min="14" max="14" width="9.140625" bestFit="1" customWidth="1"/>
    <col min="15" max="15" width="10.5703125" customWidth="1"/>
    <col min="16" max="16" width="7" bestFit="1" customWidth="1"/>
    <col min="17" max="17" width="8.140625" bestFit="1" customWidth="1"/>
    <col min="18" max="18" width="7.7109375" customWidth="1"/>
    <col min="19" max="19" width="10.28515625" customWidth="1"/>
    <col min="20" max="20" width="7.140625" customWidth="1"/>
    <col min="21" max="21" width="10.7109375" customWidth="1"/>
    <col min="22" max="22" width="11.42578125" customWidth="1"/>
    <col min="23" max="23" width="9" customWidth="1"/>
    <col min="24" max="24" width="13.28515625" customWidth="1"/>
    <col min="25" max="25" width="11" customWidth="1"/>
    <col min="26" max="26" width="7" customWidth="1"/>
    <col min="27" max="27" width="1.85546875" customWidth="1"/>
  </cols>
  <sheetData>
    <row r="1" spans="1:29" x14ac:dyDescent="0.25">
      <c r="A1" s="325" t="s">
        <v>239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33" t="s">
        <v>1</v>
      </c>
      <c r="C4" s="233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34" t="s">
        <v>15</v>
      </c>
      <c r="Q4" s="234" t="s">
        <v>16</v>
      </c>
      <c r="R4" s="234" t="s">
        <v>17</v>
      </c>
      <c r="S4" s="327" t="s">
        <v>18</v>
      </c>
      <c r="T4" s="328"/>
      <c r="U4" s="233" t="s">
        <v>19</v>
      </c>
      <c r="V4" s="234" t="s">
        <v>20</v>
      </c>
      <c r="W4" s="7" t="s">
        <v>21</v>
      </c>
      <c r="X4" s="7" t="s">
        <v>22</v>
      </c>
      <c r="Y4" s="329" t="s">
        <v>23</v>
      </c>
      <c r="Z4" s="330"/>
      <c r="AA4" s="230"/>
      <c r="AB4" s="230"/>
      <c r="AC4" s="230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31" t="s">
        <v>25</v>
      </c>
      <c r="U5" s="231" t="s">
        <v>25</v>
      </c>
      <c r="V5" s="231" t="s">
        <v>25</v>
      </c>
      <c r="W5" s="231" t="s">
        <v>25</v>
      </c>
      <c r="X5" s="232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20</v>
      </c>
      <c r="G6" s="19"/>
      <c r="H6" s="19">
        <v>20</v>
      </c>
      <c r="I6" s="19"/>
      <c r="J6" s="19">
        <v>15</v>
      </c>
      <c r="K6" s="19"/>
      <c r="L6" s="19">
        <v>25</v>
      </c>
      <c r="M6" s="19"/>
      <c r="N6" s="19">
        <v>30</v>
      </c>
      <c r="O6" s="19">
        <v>50</v>
      </c>
      <c r="P6" s="19"/>
      <c r="Q6" s="19">
        <v>25</v>
      </c>
      <c r="R6" s="19">
        <v>25</v>
      </c>
      <c r="S6" s="20">
        <f>C6/100*$C$31+D6/100*$D$31+E6/100*$E$31+F6/100*$F$31+G6/100*$G$31+H6/100*$H$31+I6/100*$I$31+J6/100*$J$31+K6/100*$K$31+L6/100*$L$31+M6/100*$M$31+N6/100*$N$31+O6/100*$O$31+P6/100*$P$31+Q6/100*$Q$31+R6/100*$R$31</f>
        <v>803027.35</v>
      </c>
      <c r="T6" s="21">
        <f>S6*100/$S$31</f>
        <v>41.217753211076982</v>
      </c>
      <c r="U6" s="22"/>
      <c r="V6" s="22"/>
      <c r="W6" s="22"/>
      <c r="X6" s="23"/>
      <c r="Y6" s="20">
        <f>U6/100*$U$31+V6/100*$V$31+W6/100*$W$31+X6/100*$X$31+S6</f>
        <v>803027.35</v>
      </c>
      <c r="Z6" s="25">
        <f>Y6*100/$Y$31</f>
        <v>31.911879716578113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0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1">U7/100*$U$31+V7/100*$V$31+W7/100*$W$31+X7/100*$X$31+S7</f>
        <v>0</v>
      </c>
      <c r="Z7" s="25">
        <f t="shared" ref="Z7:Z28" si="2">Y7*100/$Y$31</f>
        <v>0</v>
      </c>
    </row>
    <row r="8" spans="1:29" x14ac:dyDescent="0.25">
      <c r="A8" s="3" t="s">
        <v>28</v>
      </c>
      <c r="B8" s="27" t="s">
        <v>25</v>
      </c>
      <c r="C8" s="22">
        <v>30</v>
      </c>
      <c r="D8" s="22"/>
      <c r="E8" s="22"/>
      <c r="F8" s="22">
        <v>10</v>
      </c>
      <c r="G8" s="22"/>
      <c r="H8" s="22">
        <v>27</v>
      </c>
      <c r="I8" s="22"/>
      <c r="J8" s="22">
        <v>25</v>
      </c>
      <c r="K8" s="22"/>
      <c r="L8" s="22"/>
      <c r="M8" s="22"/>
      <c r="N8" s="22">
        <v>10</v>
      </c>
      <c r="O8" s="22">
        <v>15</v>
      </c>
      <c r="P8" s="22"/>
      <c r="Q8" s="22">
        <v>5</v>
      </c>
      <c r="R8" s="22">
        <v>5</v>
      </c>
      <c r="S8" s="20">
        <f t="shared" si="0"/>
        <v>282789.55</v>
      </c>
      <c r="T8" s="21">
        <f>S8*100/$S$31</f>
        <v>14.515009834436542</v>
      </c>
      <c r="U8" s="22">
        <v>5</v>
      </c>
      <c r="V8" s="22">
        <v>2</v>
      </c>
      <c r="W8" s="22"/>
      <c r="X8" s="23">
        <v>50</v>
      </c>
      <c r="Y8" s="20">
        <f t="shared" si="1"/>
        <v>331461.21999999997</v>
      </c>
      <c r="Z8" s="25">
        <f t="shared" si="2"/>
        <v>13.172092561168975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0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1"/>
        <v>0</v>
      </c>
      <c r="Z9" s="25">
        <f t="shared" si="2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0"/>
        <v>0</v>
      </c>
      <c r="T10" s="21">
        <f t="shared" si="3"/>
        <v>0</v>
      </c>
      <c r="U10" s="22"/>
      <c r="V10" s="22"/>
      <c r="W10" s="22"/>
      <c r="X10" s="23"/>
      <c r="Y10" s="20">
        <f t="shared" si="1"/>
        <v>0</v>
      </c>
      <c r="Z10" s="25">
        <f t="shared" si="2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0"/>
        <v>0</v>
      </c>
      <c r="T11" s="21">
        <f t="shared" si="3"/>
        <v>0</v>
      </c>
      <c r="U11" s="22"/>
      <c r="V11" s="22"/>
      <c r="W11" s="22"/>
      <c r="X11" s="23"/>
      <c r="Y11" s="20">
        <f t="shared" si="1"/>
        <v>0</v>
      </c>
      <c r="Z11" s="25">
        <f t="shared" si="2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0"/>
        <v>0</v>
      </c>
      <c r="T12" s="21">
        <f t="shared" si="3"/>
        <v>0</v>
      </c>
      <c r="U12" s="22"/>
      <c r="V12" s="22"/>
      <c r="W12" s="22"/>
      <c r="X12" s="23"/>
      <c r="Y12" s="20">
        <f t="shared" si="1"/>
        <v>0</v>
      </c>
      <c r="Z12" s="25">
        <f t="shared" si="2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0"/>
        <v>0</v>
      </c>
      <c r="T13" s="21">
        <f t="shared" si="3"/>
        <v>0</v>
      </c>
      <c r="U13" s="22"/>
      <c r="V13" s="22"/>
      <c r="W13" s="22"/>
      <c r="X13" s="23"/>
      <c r="Y13" s="20">
        <f t="shared" si="1"/>
        <v>0</v>
      </c>
      <c r="Z13" s="25">
        <f t="shared" si="2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0"/>
        <v>0</v>
      </c>
      <c r="T14" s="21">
        <f t="shared" si="3"/>
        <v>0</v>
      </c>
      <c r="U14" s="22"/>
      <c r="V14" s="22"/>
      <c r="W14" s="22"/>
      <c r="X14" s="23"/>
      <c r="Y14" s="20">
        <f t="shared" si="1"/>
        <v>0</v>
      </c>
      <c r="Z14" s="25">
        <f t="shared" si="2"/>
        <v>0</v>
      </c>
    </row>
    <row r="15" spans="1:29" x14ac:dyDescent="0.25">
      <c r="A15" s="28" t="s">
        <v>35</v>
      </c>
      <c r="B15" s="18" t="s">
        <v>25</v>
      </c>
      <c r="C15" s="22">
        <v>70</v>
      </c>
      <c r="D15" s="22">
        <v>100</v>
      </c>
      <c r="E15" s="22"/>
      <c r="F15" s="22"/>
      <c r="G15" s="22"/>
      <c r="H15" s="22"/>
      <c r="I15" s="22"/>
      <c r="J15" s="22"/>
      <c r="K15" s="22"/>
      <c r="L15" s="22">
        <v>0</v>
      </c>
      <c r="M15" s="22"/>
      <c r="N15" s="22">
        <v>0</v>
      </c>
      <c r="O15" s="22">
        <v>0</v>
      </c>
      <c r="P15" s="22"/>
      <c r="Q15" s="22">
        <v>0</v>
      </c>
      <c r="R15" s="22">
        <v>0</v>
      </c>
      <c r="S15" s="20">
        <f t="shared" si="0"/>
        <v>18587.399999999998</v>
      </c>
      <c r="T15" s="21">
        <f t="shared" si="3"/>
        <v>0.95405326610055341</v>
      </c>
      <c r="U15" s="22"/>
      <c r="V15" s="33"/>
      <c r="W15" s="22"/>
      <c r="X15" s="23"/>
      <c r="Y15" s="20">
        <f t="shared" si="1"/>
        <v>18587.399999999998</v>
      </c>
      <c r="Z15" s="25">
        <f t="shared" si="2"/>
        <v>0.73865338838574301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0"/>
        <v>145016</v>
      </c>
      <c r="T16" s="21">
        <f t="shared" si="3"/>
        <v>7.443374997946882</v>
      </c>
      <c r="U16" s="22"/>
      <c r="V16" s="33"/>
      <c r="W16" s="22"/>
      <c r="X16" s="23"/>
      <c r="Y16" s="20">
        <f t="shared" si="1"/>
        <v>145016</v>
      </c>
      <c r="Z16" s="25">
        <f t="shared" si="2"/>
        <v>5.7628586983734635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70</v>
      </c>
      <c r="G17" s="22"/>
      <c r="H17" s="22">
        <v>53</v>
      </c>
      <c r="I17" s="22"/>
      <c r="J17" s="22">
        <v>60</v>
      </c>
      <c r="K17" s="22"/>
      <c r="L17" s="22">
        <v>75</v>
      </c>
      <c r="M17" s="22"/>
      <c r="N17" s="22">
        <v>60</v>
      </c>
      <c r="O17" s="22">
        <v>35</v>
      </c>
      <c r="P17" s="22"/>
      <c r="Q17" s="22">
        <v>70</v>
      </c>
      <c r="R17" s="22">
        <v>70</v>
      </c>
      <c r="S17" s="20">
        <f t="shared" si="0"/>
        <v>698835.7</v>
      </c>
      <c r="T17" s="21">
        <f t="shared" si="3"/>
        <v>35.869808690439037</v>
      </c>
      <c r="U17" s="33">
        <v>1</v>
      </c>
      <c r="V17" s="22">
        <v>98</v>
      </c>
      <c r="W17" s="22"/>
      <c r="X17" s="23">
        <v>50</v>
      </c>
      <c r="Y17" s="20">
        <f t="shared" si="1"/>
        <v>779896.12999999989</v>
      </c>
      <c r="Z17" s="25">
        <f t="shared" si="2"/>
        <v>30.992657338488861</v>
      </c>
    </row>
    <row r="18" spans="1:27" x14ac:dyDescent="0.25">
      <c r="A18" s="35" t="s">
        <v>38</v>
      </c>
      <c r="B18" s="235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0"/>
        <v>0</v>
      </c>
      <c r="T18" s="21">
        <f>S18*100/$S$31</f>
        <v>0</v>
      </c>
      <c r="U18" s="33">
        <v>5</v>
      </c>
      <c r="V18" s="22"/>
      <c r="W18" s="22"/>
      <c r="X18" s="23"/>
      <c r="Y18" s="20">
        <f t="shared" si="1"/>
        <v>23319.25</v>
      </c>
      <c r="Z18" s="25">
        <f t="shared" si="2"/>
        <v>0.9266945902662147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0"/>
        <v>0</v>
      </c>
      <c r="T19" s="21">
        <f t="shared" ref="T19:T29" si="4">S19*100/$S$31</f>
        <v>0</v>
      </c>
      <c r="U19" s="33">
        <v>9</v>
      </c>
      <c r="V19" s="22"/>
      <c r="W19" s="22"/>
      <c r="X19" s="23"/>
      <c r="Y19" s="20">
        <f t="shared" si="1"/>
        <v>41974.65</v>
      </c>
      <c r="Z19" s="25">
        <f t="shared" si="2"/>
        <v>1.6680502624791864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0"/>
        <v>0</v>
      </c>
      <c r="T20" s="21">
        <f t="shared" si="4"/>
        <v>0</v>
      </c>
      <c r="U20" s="33">
        <v>2</v>
      </c>
      <c r="V20" s="22"/>
      <c r="W20" s="22"/>
      <c r="X20" s="23"/>
      <c r="Y20" s="20">
        <f t="shared" si="1"/>
        <v>9327.7000000000007</v>
      </c>
      <c r="Z20" s="25">
        <f t="shared" si="2"/>
        <v>0.37067783610648591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0"/>
        <v>0</v>
      </c>
      <c r="T21" s="21">
        <f t="shared" si="4"/>
        <v>0</v>
      </c>
      <c r="U21" s="33"/>
      <c r="V21" s="22"/>
      <c r="W21" s="22"/>
      <c r="X21" s="23"/>
      <c r="Y21" s="20">
        <f t="shared" si="1"/>
        <v>0</v>
      </c>
      <c r="Z21" s="25">
        <f t="shared" si="2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0"/>
        <v>0</v>
      </c>
      <c r="T22" s="21">
        <f t="shared" si="4"/>
        <v>0</v>
      </c>
      <c r="U22" s="33"/>
      <c r="V22" s="22"/>
      <c r="W22" s="22"/>
      <c r="X22" s="23"/>
      <c r="Y22" s="20">
        <f t="shared" si="1"/>
        <v>0</v>
      </c>
      <c r="Z22" s="25">
        <f t="shared" si="2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0"/>
        <v>0</v>
      </c>
      <c r="T23" s="21">
        <f t="shared" si="4"/>
        <v>0</v>
      </c>
      <c r="U23" s="33">
        <v>7</v>
      </c>
      <c r="V23" s="22"/>
      <c r="W23" s="22"/>
      <c r="X23" s="23"/>
      <c r="Y23" s="20">
        <f t="shared" si="1"/>
        <v>32646.950000000004</v>
      </c>
      <c r="Z23" s="25">
        <f t="shared" si="2"/>
        <v>1.2973724263727007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0"/>
        <v>0</v>
      </c>
      <c r="T24" s="21">
        <f t="shared" si="4"/>
        <v>0</v>
      </c>
      <c r="U24" s="22">
        <v>35</v>
      </c>
      <c r="V24" s="22"/>
      <c r="W24" s="22"/>
      <c r="X24" s="23"/>
      <c r="Y24" s="20">
        <f t="shared" si="1"/>
        <v>163234.75</v>
      </c>
      <c r="Z24" s="25">
        <f t="shared" si="2"/>
        <v>6.4868621318635027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0"/>
        <v>0</v>
      </c>
      <c r="T25" s="21">
        <f t="shared" si="4"/>
        <v>0</v>
      </c>
      <c r="U25" s="33">
        <v>16</v>
      </c>
      <c r="V25" s="22"/>
      <c r="W25" s="22"/>
      <c r="X25" s="23"/>
      <c r="Y25" s="20">
        <f t="shared" si="1"/>
        <v>74621.600000000006</v>
      </c>
      <c r="Z25" s="25">
        <f t="shared" si="2"/>
        <v>2.9654226888518873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0"/>
        <v>0</v>
      </c>
      <c r="T26" s="21">
        <f t="shared" si="4"/>
        <v>0</v>
      </c>
      <c r="U26" s="22"/>
      <c r="V26" s="22"/>
      <c r="W26" s="22"/>
      <c r="X26" s="23"/>
      <c r="Y26" s="20">
        <f t="shared" si="1"/>
        <v>0</v>
      </c>
      <c r="Z26" s="25">
        <f t="shared" si="2"/>
        <v>0</v>
      </c>
    </row>
    <row r="27" spans="1:27" x14ac:dyDescent="0.25">
      <c r="A27" s="3" t="s">
        <v>240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0"/>
        <v>0</v>
      </c>
      <c r="T27" s="21">
        <f t="shared" si="4"/>
        <v>0</v>
      </c>
      <c r="U27" s="33">
        <v>18</v>
      </c>
      <c r="V27" s="22"/>
      <c r="W27" s="22"/>
      <c r="X27" s="23"/>
      <c r="Y27" s="20">
        <f t="shared" si="1"/>
        <v>83949.3</v>
      </c>
      <c r="Z27" s="25">
        <f t="shared" si="2"/>
        <v>3.3361005249583728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0"/>
        <v>0</v>
      </c>
      <c r="T28" s="21">
        <f t="shared" si="4"/>
        <v>0</v>
      </c>
      <c r="U28" s="33">
        <v>2</v>
      </c>
      <c r="V28" s="22"/>
      <c r="W28" s="22"/>
      <c r="X28" s="23"/>
      <c r="Y28" s="20">
        <f t="shared" si="1"/>
        <v>9327.7000000000007</v>
      </c>
      <c r="Z28" s="25">
        <f t="shared" si="2"/>
        <v>0.37067783610648591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0"/>
        <v>0</v>
      </c>
      <c r="T29" s="40">
        <f t="shared" si="4"/>
        <v>0</v>
      </c>
      <c r="U29" s="38"/>
      <c r="V29" s="38"/>
      <c r="W29" s="38"/>
      <c r="X29" s="41"/>
      <c r="Y29" s="39">
        <f t="shared" si="1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>SUM(F6:F29)</f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>SUM(L6:L29)</f>
        <v>100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100</v>
      </c>
      <c r="S30" s="20">
        <f>+SUM(S6:S29)</f>
        <v>1948255.9999999998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2516390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26432</v>
      </c>
      <c r="D31" s="47">
        <v>85</v>
      </c>
      <c r="E31" s="47">
        <v>11187</v>
      </c>
      <c r="F31" s="47">
        <v>20925</v>
      </c>
      <c r="G31" s="47">
        <v>133829</v>
      </c>
      <c r="H31" s="47">
        <v>2550</v>
      </c>
      <c r="I31" s="47">
        <v>0</v>
      </c>
      <c r="J31" s="47">
        <v>154976</v>
      </c>
      <c r="K31" s="47">
        <v>0</v>
      </c>
      <c r="L31" s="47">
        <v>0</v>
      </c>
      <c r="M31" s="47">
        <v>0</v>
      </c>
      <c r="N31" s="47">
        <v>107139</v>
      </c>
      <c r="O31" s="47">
        <v>1480644</v>
      </c>
      <c r="P31" s="47">
        <v>0</v>
      </c>
      <c r="Q31" s="47">
        <v>10385</v>
      </c>
      <c r="R31" s="47">
        <v>104</v>
      </c>
      <c r="S31" s="48">
        <f>SUM(C31:R31)</f>
        <v>1948256</v>
      </c>
      <c r="T31" s="48">
        <f>S31*100/$S$31</f>
        <v>100</v>
      </c>
      <c r="U31" s="47">
        <v>466385</v>
      </c>
      <c r="V31" s="47">
        <v>53171</v>
      </c>
      <c r="W31" s="47">
        <v>0</v>
      </c>
      <c r="X31" s="141">
        <v>48578</v>
      </c>
      <c r="Y31" s="48">
        <f>+S31+U31+V31+W31+X31</f>
        <v>2516390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4" x14ac:dyDescent="0.25">
      <c r="A33" s="55"/>
      <c r="S33" s="1"/>
    </row>
    <row r="34" spans="1:24" x14ac:dyDescent="0.25">
      <c r="A34" s="56" t="s">
        <v>53</v>
      </c>
      <c r="B34" s="57"/>
      <c r="C34" s="57"/>
      <c r="D34" s="57"/>
      <c r="E34" s="57"/>
      <c r="F34" s="58"/>
      <c r="G34" s="10"/>
    </row>
    <row r="35" spans="1:24" x14ac:dyDescent="0.25">
      <c r="A35" s="59" t="s">
        <v>54</v>
      </c>
      <c r="B35" s="22"/>
      <c r="C35" s="22"/>
      <c r="D35" s="22"/>
      <c r="E35" s="22"/>
      <c r="F35" s="23"/>
      <c r="G35" s="10"/>
    </row>
    <row r="36" spans="1:24" x14ac:dyDescent="0.25">
      <c r="A36" s="59" t="s">
        <v>56</v>
      </c>
      <c r="B36" s="22"/>
      <c r="C36" s="22"/>
      <c r="D36" s="22"/>
      <c r="E36" s="22"/>
      <c r="F36" s="23"/>
      <c r="G36" s="10"/>
      <c r="X36" s="81"/>
    </row>
    <row r="37" spans="1:24" x14ac:dyDescent="0.25">
      <c r="A37" s="11" t="s">
        <v>57</v>
      </c>
      <c r="B37" s="38"/>
      <c r="C37" s="38"/>
      <c r="D37" s="38"/>
      <c r="E37" s="38"/>
      <c r="F37" s="41"/>
      <c r="G37" s="10"/>
    </row>
    <row r="38" spans="1:24" x14ac:dyDescent="0.25">
      <c r="A38" t="s">
        <v>58</v>
      </c>
      <c r="G38" s="10"/>
    </row>
    <row r="39" spans="1:24" ht="18.75" x14ac:dyDescent="0.3">
      <c r="A39" s="60"/>
      <c r="B39" s="61"/>
      <c r="X39" s="81"/>
    </row>
    <row r="40" spans="1:24" ht="18.75" x14ac:dyDescent="0.3">
      <c r="A40" s="60"/>
      <c r="B40" s="61"/>
    </row>
    <row r="41" spans="1:24" ht="18.75" x14ac:dyDescent="0.3">
      <c r="B41" s="61"/>
    </row>
    <row r="42" spans="1:24" x14ac:dyDescent="0.25">
      <c r="A42" s="10" t="s">
        <v>96</v>
      </c>
      <c r="C42" s="62" t="s">
        <v>97</v>
      </c>
      <c r="D42" s="62"/>
      <c r="E42" s="62"/>
    </row>
    <row r="43" spans="1:24" x14ac:dyDescent="0.25">
      <c r="A43" s="62" t="s">
        <v>241</v>
      </c>
      <c r="B43" s="62"/>
      <c r="C43" s="268">
        <v>2516390</v>
      </c>
      <c r="F43" s="64"/>
      <c r="G43" s="64"/>
    </row>
    <row r="44" spans="1:24" ht="18.75" x14ac:dyDescent="0.3">
      <c r="A44" s="60"/>
      <c r="B44" s="61"/>
    </row>
    <row r="45" spans="1:24" ht="18.75" x14ac:dyDescent="0.3">
      <c r="A45" s="60"/>
      <c r="B45" s="61"/>
      <c r="D45" s="79"/>
      <c r="E45" s="79"/>
      <c r="F45" s="79"/>
      <c r="G45" s="79"/>
    </row>
    <row r="46" spans="1:24" ht="18.75" x14ac:dyDescent="0.3">
      <c r="A46" s="142"/>
      <c r="B46" s="65"/>
      <c r="D46" s="79"/>
      <c r="E46" s="79"/>
      <c r="F46" s="79"/>
      <c r="G46" s="79"/>
    </row>
    <row r="47" spans="1:24" ht="18.75" x14ac:dyDescent="0.3">
      <c r="A47" s="60"/>
      <c r="B47" s="65"/>
      <c r="D47" s="79"/>
      <c r="E47" s="79"/>
      <c r="F47" s="79"/>
      <c r="G47" s="79"/>
      <c r="H47" s="269"/>
    </row>
  </sheetData>
  <mergeCells count="3">
    <mergeCell ref="A1:Z2"/>
    <mergeCell ref="S4:T4"/>
    <mergeCell ref="Y4:Z4"/>
  </mergeCells>
  <pageMargins left="0.22" right="0.17" top="0.74803149606299213" bottom="0.74803149606299213" header="0.31496062992125984" footer="0.31496062992125984"/>
  <pageSetup paperSize="9" scale="5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C45"/>
  <sheetViews>
    <sheetView zoomScale="90" zoomScaleNormal="90" workbookViewId="0">
      <selection activeCell="K39" sqref="K39"/>
    </sheetView>
  </sheetViews>
  <sheetFormatPr defaultRowHeight="15" x14ac:dyDescent="0.25"/>
  <cols>
    <col min="1" max="1" width="34.5703125" customWidth="1"/>
    <col min="2" max="2" width="7.28515625" customWidth="1"/>
    <col min="3" max="3" width="7.7109375" customWidth="1"/>
    <col min="4" max="5" width="13.140625" customWidth="1"/>
    <col min="6" max="6" width="10.140625" customWidth="1"/>
    <col min="7" max="7" width="8.140625" bestFit="1" customWidth="1"/>
    <col min="8" max="8" width="8.28515625" bestFit="1" customWidth="1"/>
    <col min="9" max="9" width="10.85546875" customWidth="1"/>
    <col min="10" max="10" width="9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9" customWidth="1"/>
    <col min="16" max="16" width="7.42578125" customWidth="1"/>
    <col min="17" max="17" width="7.28515625" bestFit="1" customWidth="1"/>
    <col min="18" max="18" width="6.42578125" bestFit="1" customWidth="1"/>
    <col min="19" max="19" width="9.28515625" customWidth="1"/>
    <col min="20" max="20" width="7.28515625" customWidth="1"/>
    <col min="21" max="22" width="10.28515625" customWidth="1"/>
    <col min="23" max="23" width="9.28515625" bestFit="1" customWidth="1"/>
    <col min="24" max="24" width="13.140625" customWidth="1"/>
    <col min="25" max="25" width="9.85546875" customWidth="1"/>
    <col min="26" max="26" width="7.5703125" customWidth="1"/>
    <col min="27" max="27" width="1.85546875" customWidth="1"/>
  </cols>
  <sheetData>
    <row r="1" spans="1:29" ht="15" customHeight="1" x14ac:dyDescent="0.25">
      <c r="A1" s="325" t="s">
        <v>130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47" t="s">
        <v>1</v>
      </c>
      <c r="C4" s="173" t="s">
        <v>2</v>
      </c>
      <c r="D4" s="174" t="s">
        <v>3</v>
      </c>
      <c r="E4" s="174" t="s">
        <v>4</v>
      </c>
      <c r="F4" s="174" t="s">
        <v>132</v>
      </c>
      <c r="G4" s="175" t="s">
        <v>6</v>
      </c>
      <c r="H4" s="175" t="s">
        <v>7</v>
      </c>
      <c r="I4" s="174" t="s">
        <v>101</v>
      </c>
      <c r="J4" s="175" t="s">
        <v>9</v>
      </c>
      <c r="K4" s="175" t="s">
        <v>10</v>
      </c>
      <c r="L4" s="175" t="s">
        <v>11</v>
      </c>
      <c r="M4" s="175" t="s">
        <v>12</v>
      </c>
      <c r="N4" s="175" t="s">
        <v>13</v>
      </c>
      <c r="O4" s="174" t="s">
        <v>14</v>
      </c>
      <c r="P4" s="175" t="s">
        <v>15</v>
      </c>
      <c r="Q4" s="175" t="s">
        <v>16</v>
      </c>
      <c r="R4" s="175" t="s">
        <v>17</v>
      </c>
      <c r="S4" s="333" t="s">
        <v>18</v>
      </c>
      <c r="T4" s="334"/>
      <c r="U4" s="173" t="s">
        <v>19</v>
      </c>
      <c r="V4" s="148" t="s">
        <v>20</v>
      </c>
      <c r="W4" s="7" t="s">
        <v>21</v>
      </c>
      <c r="X4" s="7" t="s">
        <v>22</v>
      </c>
      <c r="Y4" s="329" t="s">
        <v>23</v>
      </c>
      <c r="Z4" s="330"/>
      <c r="AA4" s="144"/>
      <c r="AB4" s="144"/>
      <c r="AC4" s="144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45" t="s">
        <v>25</v>
      </c>
      <c r="U5" s="145" t="s">
        <v>25</v>
      </c>
      <c r="V5" s="145" t="s">
        <v>25</v>
      </c>
      <c r="W5" s="145" t="s">
        <v>25</v>
      </c>
      <c r="X5" s="14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10</v>
      </c>
      <c r="D6" s="19"/>
      <c r="E6" s="19"/>
      <c r="F6" s="19">
        <v>15</v>
      </c>
      <c r="G6" s="19"/>
      <c r="H6" s="19">
        <v>15</v>
      </c>
      <c r="I6" s="19"/>
      <c r="J6" s="19">
        <v>10</v>
      </c>
      <c r="K6" s="19"/>
      <c r="L6" s="19"/>
      <c r="M6" s="19"/>
      <c r="N6" s="19"/>
      <c r="O6" s="19"/>
      <c r="P6" s="19"/>
      <c r="Q6" s="19">
        <v>15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6309.5</v>
      </c>
      <c r="T6" s="21">
        <f>S6*100/$S$31</f>
        <v>6.8597925590902173</v>
      </c>
      <c r="U6" s="22"/>
      <c r="V6" s="22"/>
      <c r="W6" s="22"/>
      <c r="X6" s="23"/>
      <c r="Y6" s="20">
        <f>U6/100*$U$31+V6/100*$V$31+W6/100*$W$31+X6/100*$X$31+S6</f>
        <v>6309.5</v>
      </c>
      <c r="Z6" s="25">
        <f t="shared" ref="Z6:Z28" si="0">Y6*100/$Y$31</f>
        <v>2.4792820121891319</v>
      </c>
    </row>
    <row r="7" spans="1:29" x14ac:dyDescent="0.25">
      <c r="A7" s="26" t="s">
        <v>27</v>
      </c>
      <c r="B7" s="18" t="s">
        <v>25</v>
      </c>
      <c r="C7" s="22">
        <v>5</v>
      </c>
      <c r="D7" s="22"/>
      <c r="E7" s="22"/>
      <c r="F7" s="22">
        <v>5</v>
      </c>
      <c r="G7" s="22"/>
      <c r="H7" s="22">
        <v>5</v>
      </c>
      <c r="I7" s="22"/>
      <c r="J7" s="22">
        <v>5</v>
      </c>
      <c r="K7" s="22"/>
      <c r="L7" s="22"/>
      <c r="M7" s="22"/>
      <c r="N7" s="22"/>
      <c r="O7" s="22"/>
      <c r="P7" s="22"/>
      <c r="Q7" s="22">
        <v>5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2974.9500000000003</v>
      </c>
      <c r="T7" s="21">
        <f>S7*100/$S$31</f>
        <v>3.2344147513535844</v>
      </c>
      <c r="U7" s="22"/>
      <c r="V7" s="22"/>
      <c r="W7" s="22"/>
      <c r="X7" s="23"/>
      <c r="Y7" s="20">
        <f t="shared" ref="Y7:Y29" si="2">U7/100*$U$31+V7/100*$V$31+W7/100*$W$31+X7/100*$X$31+S7</f>
        <v>2974.9500000000003</v>
      </c>
      <c r="Z7" s="25">
        <f t="shared" si="0"/>
        <v>1.1689896223412406</v>
      </c>
    </row>
    <row r="8" spans="1:29" x14ac:dyDescent="0.25">
      <c r="A8" s="3" t="s">
        <v>28</v>
      </c>
      <c r="B8" s="27" t="s">
        <v>25</v>
      </c>
      <c r="C8" s="22">
        <v>5</v>
      </c>
      <c r="D8" s="22"/>
      <c r="E8" s="22"/>
      <c r="F8" s="22">
        <v>5</v>
      </c>
      <c r="G8" s="22"/>
      <c r="H8" s="22">
        <v>5</v>
      </c>
      <c r="I8" s="22"/>
      <c r="J8" s="22">
        <v>5</v>
      </c>
      <c r="K8" s="22"/>
      <c r="L8" s="22"/>
      <c r="M8" s="22"/>
      <c r="N8" s="22"/>
      <c r="O8" s="22"/>
      <c r="P8" s="22"/>
      <c r="Q8" s="22">
        <v>5</v>
      </c>
      <c r="R8" s="22"/>
      <c r="S8" s="20">
        <f t="shared" si="1"/>
        <v>2974.9500000000003</v>
      </c>
      <c r="T8" s="21">
        <f>S8*100/$S$31</f>
        <v>3.2344147513535844</v>
      </c>
      <c r="U8" s="22"/>
      <c r="V8" s="22"/>
      <c r="W8" s="22"/>
      <c r="X8" s="23"/>
      <c r="Y8" s="20">
        <f t="shared" si="2"/>
        <v>2974.9500000000003</v>
      </c>
      <c r="Z8" s="25">
        <f t="shared" si="0"/>
        <v>1.1689896223412406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3"/>
        <v>0</v>
      </c>
      <c r="U15" s="22"/>
      <c r="V15" s="33"/>
      <c r="W15" s="22"/>
      <c r="X15" s="23"/>
      <c r="Y15" s="20">
        <f t="shared" si="2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32479</v>
      </c>
      <c r="T16" s="21">
        <f t="shared" si="3"/>
        <v>35.311704972928311</v>
      </c>
      <c r="U16" s="22"/>
      <c r="V16" s="33"/>
      <c r="W16" s="22"/>
      <c r="X16" s="23"/>
      <c r="Y16" s="20">
        <f t="shared" si="2"/>
        <v>32479</v>
      </c>
      <c r="Z16" s="25">
        <f t="shared" si="0"/>
        <v>12.762437669211636</v>
      </c>
    </row>
    <row r="17" spans="1:27" x14ac:dyDescent="0.25">
      <c r="A17" s="34" t="s">
        <v>37</v>
      </c>
      <c r="B17" s="14" t="s">
        <v>25</v>
      </c>
      <c r="C17" s="22">
        <v>80</v>
      </c>
      <c r="D17" s="22"/>
      <c r="E17" s="22"/>
      <c r="F17" s="22">
        <v>75</v>
      </c>
      <c r="G17" s="22"/>
      <c r="H17" s="22">
        <v>75</v>
      </c>
      <c r="I17" s="22"/>
      <c r="J17" s="22">
        <v>80</v>
      </c>
      <c r="K17" s="22"/>
      <c r="L17" s="22"/>
      <c r="M17" s="22"/>
      <c r="N17" s="22"/>
      <c r="O17" s="22"/>
      <c r="P17" s="22"/>
      <c r="Q17" s="22">
        <v>75</v>
      </c>
      <c r="R17" s="22"/>
      <c r="S17" s="20">
        <f t="shared" si="1"/>
        <v>47239.600000000006</v>
      </c>
      <c r="T17" s="21">
        <f t="shared" si="3"/>
        <v>51.359672965274314</v>
      </c>
      <c r="U17" s="33"/>
      <c r="V17" s="22">
        <v>100</v>
      </c>
      <c r="W17" s="22"/>
      <c r="X17" s="23">
        <v>100</v>
      </c>
      <c r="Y17" s="20">
        <f t="shared" si="2"/>
        <v>104339.6</v>
      </c>
      <c r="Z17" s="25">
        <f t="shared" si="0"/>
        <v>40.999650279579861</v>
      </c>
    </row>
    <row r="18" spans="1:27" x14ac:dyDescent="0.25">
      <c r="A18" s="35" t="s">
        <v>38</v>
      </c>
      <c r="B18" s="149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>
        <v>2</v>
      </c>
      <c r="V18" s="22"/>
      <c r="W18" s="22"/>
      <c r="X18" s="23"/>
      <c r="Y18" s="20">
        <f t="shared" si="2"/>
        <v>2108.2200000000003</v>
      </c>
      <c r="Z18" s="25">
        <f t="shared" si="0"/>
        <v>0.82841301588673788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20</v>
      </c>
      <c r="V19" s="22"/>
      <c r="W19" s="22"/>
      <c r="X19" s="23"/>
      <c r="Y19" s="20">
        <f t="shared" si="2"/>
        <v>21082.2</v>
      </c>
      <c r="Z19" s="25">
        <f t="shared" si="0"/>
        <v>8.2841301588673772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/>
      <c r="V20" s="22"/>
      <c r="W20" s="22"/>
      <c r="X20" s="23"/>
      <c r="Y20" s="20">
        <f t="shared" si="2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0.96</v>
      </c>
      <c r="V21" s="22"/>
      <c r="W21" s="22"/>
      <c r="X21" s="23"/>
      <c r="Y21" s="20">
        <f t="shared" si="2"/>
        <v>1011.9455999999999</v>
      </c>
      <c r="Z21" s="25">
        <f t="shared" si="0"/>
        <v>0.39763824762563404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/>
      <c r="V22" s="22"/>
      <c r="W22" s="22"/>
      <c r="X22" s="23"/>
      <c r="Y22" s="20">
        <f t="shared" si="2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20</v>
      </c>
      <c r="V23" s="22"/>
      <c r="W23" s="22"/>
      <c r="X23" s="23"/>
      <c r="Y23" s="20">
        <f t="shared" si="2"/>
        <v>21082.2</v>
      </c>
      <c r="Z23" s="25">
        <f t="shared" si="0"/>
        <v>8.2841301588673772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/>
      <c r="V24" s="22"/>
      <c r="W24" s="22"/>
      <c r="X24" s="23"/>
      <c r="Y24" s="20">
        <f t="shared" si="2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/>
      <c r="V25" s="22"/>
      <c r="W25" s="22"/>
      <c r="X25" s="23"/>
      <c r="Y25" s="20">
        <f t="shared" si="2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35</v>
      </c>
      <c r="V27" s="22"/>
      <c r="W27" s="22"/>
      <c r="X27" s="23"/>
      <c r="Y27" s="20">
        <f t="shared" si="2"/>
        <v>36893.85</v>
      </c>
      <c r="Z27" s="25">
        <f t="shared" si="0"/>
        <v>14.49722777801791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20</v>
      </c>
      <c r="V28" s="22"/>
      <c r="W28" s="22"/>
      <c r="X28" s="23"/>
      <c r="Y28" s="20">
        <f t="shared" si="2"/>
        <v>21082.2</v>
      </c>
      <c r="Z28" s="25">
        <f t="shared" si="0"/>
        <v>8.2841301588673772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162">
        <v>2.039999999999992</v>
      </c>
      <c r="V29" s="38"/>
      <c r="W29" s="38"/>
      <c r="X29" s="41"/>
      <c r="Y29" s="39">
        <f t="shared" si="2"/>
        <v>2150.3843999999917</v>
      </c>
      <c r="Z29" s="42">
        <f>Y29*100/$Y$31</f>
        <v>0.84498127620446928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91978</v>
      </c>
      <c r="T30" s="20">
        <f>+SUM(T6:T29)</f>
        <v>100.00000000000001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254489.00000000003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3056</v>
      </c>
      <c r="D31" s="47">
        <v>0</v>
      </c>
      <c r="E31" s="47">
        <v>5882</v>
      </c>
      <c r="F31" s="47">
        <v>1504</v>
      </c>
      <c r="G31" s="47">
        <v>26597</v>
      </c>
      <c r="H31" s="47">
        <v>3503</v>
      </c>
      <c r="I31" s="47">
        <v>0</v>
      </c>
      <c r="J31" s="47">
        <v>49251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2185</v>
      </c>
      <c r="R31" s="47">
        <v>0</v>
      </c>
      <c r="S31" s="48">
        <f>SUM(C31:R31)</f>
        <v>91978</v>
      </c>
      <c r="T31" s="48">
        <f>S31*100/$S$31</f>
        <v>100</v>
      </c>
      <c r="U31" s="47">
        <v>105411</v>
      </c>
      <c r="V31" s="47">
        <v>48181</v>
      </c>
      <c r="W31" s="47">
        <v>0</v>
      </c>
      <c r="X31" s="141">
        <v>8919</v>
      </c>
      <c r="Y31" s="48">
        <f>+S31+U31+V31+W31+X31</f>
        <v>254489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/>
      <c r="Z32" s="54"/>
    </row>
    <row r="33" spans="1:22" x14ac:dyDescent="0.25">
      <c r="A33" s="55"/>
      <c r="S33" s="1"/>
    </row>
    <row r="34" spans="1:22" x14ac:dyDescent="0.25">
      <c r="A34" s="56" t="s">
        <v>53</v>
      </c>
      <c r="B34" s="57"/>
      <c r="C34" s="57"/>
      <c r="D34" s="57"/>
      <c r="E34" s="57"/>
      <c r="F34" s="58"/>
      <c r="G34" s="10"/>
      <c r="U34" s="81"/>
      <c r="V34" s="176"/>
    </row>
    <row r="35" spans="1:22" x14ac:dyDescent="0.25">
      <c r="A35" s="59" t="s">
        <v>54</v>
      </c>
      <c r="B35" s="22"/>
      <c r="C35" s="22"/>
      <c r="D35" s="22"/>
      <c r="E35" s="22"/>
      <c r="F35" s="23"/>
      <c r="G35" s="10"/>
    </row>
    <row r="36" spans="1:22" x14ac:dyDescent="0.25">
      <c r="A36" s="59" t="s">
        <v>56</v>
      </c>
      <c r="B36" s="22"/>
      <c r="C36" s="22"/>
      <c r="D36" s="22"/>
      <c r="E36" s="22"/>
      <c r="F36" s="23"/>
      <c r="G36" s="10"/>
      <c r="V36" s="163"/>
    </row>
    <row r="37" spans="1:22" x14ac:dyDescent="0.25">
      <c r="A37" s="11" t="s">
        <v>57</v>
      </c>
      <c r="B37" s="38"/>
      <c r="C37" s="38"/>
      <c r="D37" s="38"/>
      <c r="E37" s="38"/>
      <c r="F37" s="41"/>
      <c r="G37" s="10"/>
      <c r="V37" s="163"/>
    </row>
    <row r="38" spans="1:22" x14ac:dyDescent="0.25">
      <c r="A38" t="s">
        <v>58</v>
      </c>
      <c r="G38" s="10"/>
      <c r="V38" s="163"/>
    </row>
    <row r="39" spans="1:22" ht="18.75" x14ac:dyDescent="0.3">
      <c r="A39" s="60"/>
      <c r="B39" s="61"/>
      <c r="V39" s="163"/>
    </row>
    <row r="40" spans="1:22" ht="18.75" x14ac:dyDescent="0.3">
      <c r="A40" s="60"/>
      <c r="B40" s="61"/>
      <c r="V40" s="163"/>
    </row>
    <row r="41" spans="1:22" ht="18.75" x14ac:dyDescent="0.3">
      <c r="B41" s="61"/>
    </row>
    <row r="42" spans="1:22" x14ac:dyDescent="0.25">
      <c r="A42" s="10" t="s">
        <v>96</v>
      </c>
      <c r="C42" s="62" t="s">
        <v>97</v>
      </c>
      <c r="D42" s="62"/>
      <c r="E42" s="62"/>
    </row>
    <row r="43" spans="1:22" x14ac:dyDescent="0.25">
      <c r="A43" s="62" t="s">
        <v>131</v>
      </c>
      <c r="B43" s="62"/>
      <c r="C43" s="63">
        <v>254489</v>
      </c>
      <c r="F43" s="64"/>
      <c r="G43" s="64"/>
    </row>
    <row r="44" spans="1:22" ht="18.75" x14ac:dyDescent="0.3">
      <c r="A44" s="60"/>
      <c r="B44" s="61"/>
    </row>
    <row r="45" spans="1:22" ht="18.75" x14ac:dyDescent="0.3">
      <c r="A45" s="60"/>
      <c r="B45" s="65"/>
    </row>
  </sheetData>
  <mergeCells count="3">
    <mergeCell ref="A1:Z2"/>
    <mergeCell ref="S4:T4"/>
    <mergeCell ref="Y4:Z4"/>
  </mergeCells>
  <pageMargins left="0.28999999999999998" right="0.28000000000000003" top="0.74803149606299213" bottom="0.74803149606299213" header="0.31496062992125984" footer="0.31496062992125984"/>
  <pageSetup paperSize="9" scale="5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C45"/>
  <sheetViews>
    <sheetView zoomScale="90" zoomScaleNormal="90" workbookViewId="0">
      <selection activeCell="X38" sqref="X38"/>
    </sheetView>
  </sheetViews>
  <sheetFormatPr defaultRowHeight="15" x14ac:dyDescent="0.25"/>
  <cols>
    <col min="1" max="1" width="34.140625" customWidth="1"/>
    <col min="2" max="2" width="7.28515625" customWidth="1"/>
    <col min="3" max="3" width="8.28515625" customWidth="1"/>
    <col min="4" max="5" width="12.42578125" customWidth="1"/>
    <col min="6" max="6" width="9.5703125" customWidth="1"/>
    <col min="7" max="7" width="8.140625" bestFit="1" customWidth="1"/>
    <col min="8" max="8" width="8.28515625" bestFit="1" customWidth="1"/>
    <col min="9" max="9" width="10.5703125" customWidth="1"/>
    <col min="10" max="10" width="9" bestFit="1" customWidth="1"/>
    <col min="11" max="11" width="5.140625" bestFit="1" customWidth="1"/>
    <col min="12" max="12" width="5.7109375" bestFit="1" customWidth="1"/>
    <col min="13" max="13" width="6.42578125" bestFit="1" customWidth="1"/>
    <col min="14" max="14" width="7.85546875" bestFit="1" customWidth="1"/>
    <col min="15" max="15" width="8.85546875" customWidth="1"/>
    <col min="16" max="16" width="7" bestFit="1" customWidth="1"/>
    <col min="17" max="17" width="7.28515625" bestFit="1" customWidth="1"/>
    <col min="18" max="18" width="6.42578125" bestFit="1" customWidth="1"/>
    <col min="19" max="19" width="9.7109375" customWidth="1"/>
    <col min="20" max="20" width="6.28515625" customWidth="1"/>
    <col min="21" max="21" width="11.140625" customWidth="1"/>
    <col min="22" max="22" width="11.42578125" customWidth="1"/>
    <col min="23" max="23" width="9.28515625" bestFit="1" customWidth="1"/>
    <col min="24" max="24" width="14" bestFit="1" customWidth="1"/>
    <col min="25" max="25" width="11.140625" customWidth="1"/>
    <col min="26" max="26" width="7.5703125" customWidth="1"/>
    <col min="27" max="27" width="1.85546875" customWidth="1"/>
  </cols>
  <sheetData>
    <row r="1" spans="1:29" ht="15" customHeight="1" x14ac:dyDescent="0.25">
      <c r="A1" s="325" t="s">
        <v>121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30" t="s">
        <v>1</v>
      </c>
      <c r="C4" s="130" t="s">
        <v>2</v>
      </c>
      <c r="D4" s="5" t="s">
        <v>3</v>
      </c>
      <c r="E4" s="5" t="s">
        <v>4</v>
      </c>
      <c r="F4" s="5" t="s">
        <v>102</v>
      </c>
      <c r="G4" s="131" t="s">
        <v>6</v>
      </c>
      <c r="H4" s="131" t="s">
        <v>7</v>
      </c>
      <c r="I4" s="5" t="s">
        <v>101</v>
      </c>
      <c r="J4" s="131" t="s">
        <v>9</v>
      </c>
      <c r="K4" s="131" t="s">
        <v>10</v>
      </c>
      <c r="L4" s="131" t="s">
        <v>11</v>
      </c>
      <c r="M4" s="131" t="s">
        <v>12</v>
      </c>
      <c r="N4" s="131" t="s">
        <v>13</v>
      </c>
      <c r="O4" s="5" t="s">
        <v>14</v>
      </c>
      <c r="P4" s="131" t="s">
        <v>15</v>
      </c>
      <c r="Q4" s="131" t="s">
        <v>16</v>
      </c>
      <c r="R4" s="131" t="s">
        <v>17</v>
      </c>
      <c r="S4" s="327" t="s">
        <v>18</v>
      </c>
      <c r="T4" s="328"/>
      <c r="U4" s="130" t="s">
        <v>19</v>
      </c>
      <c r="V4" s="131" t="s">
        <v>20</v>
      </c>
      <c r="W4" s="7" t="s">
        <v>21</v>
      </c>
      <c r="X4" s="7" t="s">
        <v>22</v>
      </c>
      <c r="Y4" s="329" t="s">
        <v>23</v>
      </c>
      <c r="Z4" s="330"/>
      <c r="AA4" s="127"/>
      <c r="AB4" s="127"/>
      <c r="AC4" s="127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8" t="s">
        <v>25</v>
      </c>
      <c r="U5" s="128" t="s">
        <v>25</v>
      </c>
      <c r="V5" s="128" t="s">
        <v>25</v>
      </c>
      <c r="W5" s="128" t="s">
        <v>25</v>
      </c>
      <c r="X5" s="129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>
        <v>10</v>
      </c>
      <c r="I6" s="19"/>
      <c r="J6" s="19">
        <v>2</v>
      </c>
      <c r="K6" s="19"/>
      <c r="L6" s="19"/>
      <c r="M6" s="19"/>
      <c r="N6" s="19">
        <v>30</v>
      </c>
      <c r="O6" s="19">
        <v>30</v>
      </c>
      <c r="P6" s="19"/>
      <c r="Q6" s="19">
        <v>30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7880.74</v>
      </c>
      <c r="T6" s="21">
        <f>S6*100/$S$31</f>
        <v>4.5507902502122155</v>
      </c>
      <c r="U6" s="22"/>
      <c r="V6" s="22"/>
      <c r="W6" s="22"/>
      <c r="X6" s="23"/>
      <c r="Y6" s="20">
        <f>U6/100*$U$31+V6/100*$V$31+W6/100*$W$31+X6/100*$X$31+S6</f>
        <v>7880.74</v>
      </c>
      <c r="Z6" s="25">
        <f t="shared" ref="Z6:Z28" si="0">Y6*100/$Y$31</f>
        <v>1.2678642676036398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>
        <v>8</v>
      </c>
      <c r="K7" s="22"/>
      <c r="L7" s="22"/>
      <c r="M7" s="22"/>
      <c r="N7" s="22"/>
      <c r="O7" s="22"/>
      <c r="P7" s="22"/>
      <c r="Q7" s="22"/>
      <c r="R7" s="22"/>
      <c r="S7" s="20">
        <f t="shared" ref="S7:S28" si="1">C7/100*$C$31+D7/100*$D$31+E7/100*$E$31+F7/100*$F$31+G7/100*$G$31+H7/100*$H$31+I7/100*$I$31+J7/100*$J$31+K7/100*$K$31+L7/100*$L$31+M7/100*$M$31+N7/100*$N$31+O7/100*$O$31+P7/100*$P$31+Q7/100*$Q$31+R7/100*$R$31</f>
        <v>4439.3599999999997</v>
      </c>
      <c r="T7" s="21">
        <f>S7*100/$S$31</f>
        <v>2.5635405057370373</v>
      </c>
      <c r="U7" s="22"/>
      <c r="V7" s="22"/>
      <c r="W7" s="22"/>
      <c r="X7" s="23"/>
      <c r="Y7" s="20">
        <f t="shared" ref="Y7:Y29" si="2">U7/100*$U$31+V7/100*$V$31+W7/100*$W$31+X7/100*$X$31+S7</f>
        <v>4439.3599999999997</v>
      </c>
      <c r="Z7" s="25">
        <f t="shared" si="0"/>
        <v>0.71421032987116606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>S8*100/$S$31</f>
        <v>0</v>
      </c>
      <c r="U8" s="33">
        <v>2.2597870615950537</v>
      </c>
      <c r="V8" s="22"/>
      <c r="W8" s="22"/>
      <c r="X8" s="23"/>
      <c r="Y8" s="20">
        <f t="shared" si="2"/>
        <v>8870.9070996444625</v>
      </c>
      <c r="Z8" s="25">
        <f t="shared" si="0"/>
        <v>1.4271637096098406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6" si="3">S9*100/$S$31</f>
        <v>0</v>
      </c>
      <c r="U9" s="33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33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33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33">
        <v>50.119382606738505</v>
      </c>
      <c r="V12" s="22"/>
      <c r="W12" s="22"/>
      <c r="X12" s="23"/>
      <c r="Y12" s="20">
        <f t="shared" si="2"/>
        <v>196746.14239188234</v>
      </c>
      <c r="Z12" s="25">
        <f t="shared" si="0"/>
        <v>31.652789424283171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33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33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317</v>
      </c>
      <c r="T15" s="21">
        <f t="shared" si="3"/>
        <v>0.1830539402793738</v>
      </c>
      <c r="U15" s="33"/>
      <c r="V15" s="33"/>
      <c r="W15" s="22"/>
      <c r="X15" s="23"/>
      <c r="Y15" s="20">
        <f t="shared" si="2"/>
        <v>317</v>
      </c>
      <c r="Z15" s="25">
        <f t="shared" si="0"/>
        <v>5.0999395086039359E-2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91591</v>
      </c>
      <c r="T16" s="21">
        <f t="shared" si="3"/>
        <v>52.889884681792196</v>
      </c>
      <c r="U16" s="33"/>
      <c r="V16" s="33"/>
      <c r="W16" s="22"/>
      <c r="X16" s="23"/>
      <c r="Y16" s="20">
        <f t="shared" si="2"/>
        <v>91591</v>
      </c>
      <c r="Z16" s="25">
        <f t="shared" si="0"/>
        <v>14.735285789670129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>
        <v>90</v>
      </c>
      <c r="I17" s="22"/>
      <c r="J17" s="22">
        <v>90</v>
      </c>
      <c r="K17" s="22"/>
      <c r="L17" s="22"/>
      <c r="M17" s="22"/>
      <c r="N17" s="22">
        <v>70</v>
      </c>
      <c r="O17" s="22">
        <v>70</v>
      </c>
      <c r="P17" s="22"/>
      <c r="Q17" s="22">
        <v>70</v>
      </c>
      <c r="R17" s="22"/>
      <c r="S17" s="20">
        <f t="shared" si="1"/>
        <v>68944.899999999994</v>
      </c>
      <c r="T17" s="21">
        <f>S17*100/$S$31</f>
        <v>39.812730621979171</v>
      </c>
      <c r="U17" s="33"/>
      <c r="V17" s="22">
        <v>100</v>
      </c>
      <c r="W17" s="22"/>
      <c r="X17" s="23">
        <v>100</v>
      </c>
      <c r="Y17" s="20">
        <f t="shared" si="2"/>
        <v>124792.9</v>
      </c>
      <c r="Z17" s="25">
        <f t="shared" si="0"/>
        <v>20.076853031648582</v>
      </c>
    </row>
    <row r="18" spans="1:27" x14ac:dyDescent="0.25">
      <c r="A18" s="35" t="s">
        <v>38</v>
      </c>
      <c r="B18" s="132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6.2203880113771808</v>
      </c>
      <c r="V19" s="22"/>
      <c r="W19" s="22"/>
      <c r="X19" s="23"/>
      <c r="Y19" s="20">
        <f t="shared" si="2"/>
        <v>24418.444158061691</v>
      </c>
      <c r="Z19" s="25">
        <f t="shared" si="0"/>
        <v>3.9284728107362077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>C20/100*$C$31+D20/100*$D$31+E20/100*$E$31+F20/100*$F$31+G20/100*$G$31+H20/100*$H$31+I20/100*$I$31+J20/100*$J$31+K20/100*$K$31+L20/100*$L$31+M20/100*$M$31+N20/100*$N$31+O20/100*$O$31+P20/100*$P$31+Q20/100*$Q$31+R20/100*$R$31</f>
        <v>0</v>
      </c>
      <c r="T20" s="21">
        <f t="shared" si="4"/>
        <v>0</v>
      </c>
      <c r="U20" s="33">
        <v>1.587745221035531</v>
      </c>
      <c r="V20" s="22"/>
      <c r="W20" s="22"/>
      <c r="X20" s="23"/>
      <c r="Y20" s="20">
        <f t="shared" si="2"/>
        <v>6232.773252436029</v>
      </c>
      <c r="Z20" s="25">
        <f t="shared" si="0"/>
        <v>1.0027371154027871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/>
      <c r="V21" s="22"/>
      <c r="W21" s="22"/>
      <c r="X21" s="23"/>
      <c r="Y21" s="20">
        <f t="shared" si="2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4.7706615744784457</v>
      </c>
      <c r="V22" s="22"/>
      <c r="W22" s="22"/>
      <c r="X22" s="23"/>
      <c r="Y22" s="20">
        <f t="shared" si="2"/>
        <v>18727.470543693864</v>
      </c>
      <c r="Z22" s="25">
        <f t="shared" si="0"/>
        <v>3.0129011647318853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15.146089356257347</v>
      </c>
      <c r="V23" s="22"/>
      <c r="W23" s="22"/>
      <c r="X23" s="23"/>
      <c r="Y23" s="20">
        <f t="shared" si="2"/>
        <v>59456.73107245603</v>
      </c>
      <c r="Z23" s="25">
        <f t="shared" si="0"/>
        <v>9.5654804999639662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33">
        <v>0.1016904177717774</v>
      </c>
      <c r="V24" s="22"/>
      <c r="W24" s="22"/>
      <c r="X24" s="23"/>
      <c r="Y24" s="20">
        <f t="shared" si="2"/>
        <v>399.19081948400077</v>
      </c>
      <c r="Z24" s="25">
        <f t="shared" si="0"/>
        <v>6.422236693244282E-2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4.3202938402901125</v>
      </c>
      <c r="V25" s="22"/>
      <c r="W25" s="22"/>
      <c r="X25" s="23"/>
      <c r="Y25" s="20">
        <f t="shared" si="2"/>
        <v>16959.529484750852</v>
      </c>
      <c r="Z25" s="25">
        <f t="shared" si="0"/>
        <v>2.7284723806502909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33">
        <v>2.6378622424599216</v>
      </c>
      <c r="V26" s="22"/>
      <c r="W26" s="22"/>
      <c r="X26" s="23"/>
      <c r="Y26" s="20">
        <f t="shared" si="2"/>
        <v>10355.060125888545</v>
      </c>
      <c r="Z26" s="25">
        <f t="shared" si="0"/>
        <v>1.665936285488588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9.6569218897835718</v>
      </c>
      <c r="V27" s="22"/>
      <c r="W27" s="22"/>
      <c r="X27" s="23"/>
      <c r="Y27" s="20">
        <f t="shared" si="2"/>
        <v>37908.729724439901</v>
      </c>
      <c r="Z27" s="25">
        <f t="shared" si="0"/>
        <v>6.0988084682226953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3.1791777782125856</v>
      </c>
      <c r="V28" s="22"/>
      <c r="W28" s="22"/>
      <c r="X28" s="23"/>
      <c r="Y28" s="20">
        <f t="shared" si="2"/>
        <v>12480.021327262415</v>
      </c>
      <c r="Z28" s="25">
        <f t="shared" si="0"/>
        <v>2.0078029600985907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>C29/100*$C$31+D29/100*$D$31+E29/100*$E$31+F29/100*$F$31+G29/100*$G$31+H29/100*$H$31+I29/100*$I$31+J29/100*$J$31+K29/100*$K$31+L29/100*$L$31+M29/100*$M$31+N29/100*$N$31+O29/100*$O$31+P29/100*$P$31+Q29/100*$Q$31+R29/100*$R$31</f>
        <v>0</v>
      </c>
      <c r="T29" s="40">
        <f t="shared" si="4"/>
        <v>0</v>
      </c>
      <c r="U29" s="38"/>
      <c r="V29" s="38"/>
      <c r="W29" s="38"/>
      <c r="X29" s="41"/>
      <c r="Y29" s="39">
        <f t="shared" si="2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100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173173</v>
      </c>
      <c r="T30" s="20">
        <f>+SUM(T6:T29)</f>
        <v>100</v>
      </c>
      <c r="U30" s="44">
        <f>SUM(U6:U29)</f>
        <v>100.00000000000004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621576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317</v>
      </c>
      <c r="D31" s="47">
        <v>0</v>
      </c>
      <c r="E31" s="47">
        <v>8867</v>
      </c>
      <c r="F31" s="47">
        <v>0</v>
      </c>
      <c r="G31" s="47">
        <v>82724</v>
      </c>
      <c r="H31" s="47">
        <v>4805</v>
      </c>
      <c r="I31" s="47">
        <v>0</v>
      </c>
      <c r="J31" s="47">
        <v>55492</v>
      </c>
      <c r="K31" s="47">
        <v>0</v>
      </c>
      <c r="L31" s="47">
        <v>0</v>
      </c>
      <c r="M31" s="47">
        <v>0</v>
      </c>
      <c r="N31" s="47">
        <v>668</v>
      </c>
      <c r="O31" s="47">
        <v>13816</v>
      </c>
      <c r="P31" s="47">
        <v>0</v>
      </c>
      <c r="Q31" s="47">
        <v>6484</v>
      </c>
      <c r="R31" s="47">
        <v>0</v>
      </c>
      <c r="S31" s="48">
        <f>SUM(C31:R31)</f>
        <v>173173</v>
      </c>
      <c r="T31" s="48">
        <f>S31*100/$S$31</f>
        <v>100</v>
      </c>
      <c r="U31" s="47">
        <v>392555</v>
      </c>
      <c r="V31" s="47">
        <v>45796</v>
      </c>
      <c r="W31" s="47">
        <v>0</v>
      </c>
      <c r="X31" s="141">
        <v>10052</v>
      </c>
      <c r="Y31" s="48">
        <f>+S31+U31+V31+W31+X31</f>
        <v>621576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G33" s="10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86" t="s">
        <v>122</v>
      </c>
      <c r="B39" s="61"/>
      <c r="G39" s="10"/>
    </row>
    <row r="40" spans="1:19" ht="18.75" x14ac:dyDescent="0.3">
      <c r="A40" s="86" t="s">
        <v>123</v>
      </c>
      <c r="B40" s="61"/>
    </row>
    <row r="41" spans="1:19" ht="18.75" x14ac:dyDescent="0.3">
      <c r="A41" s="86" t="s">
        <v>124</v>
      </c>
      <c r="B41" s="61"/>
    </row>
    <row r="42" spans="1:19" x14ac:dyDescent="0.25">
      <c r="A42" s="10" t="s">
        <v>96</v>
      </c>
      <c r="C42" s="62" t="s">
        <v>97</v>
      </c>
      <c r="D42" s="62"/>
      <c r="E42" s="62"/>
    </row>
    <row r="43" spans="1:19" x14ac:dyDescent="0.25">
      <c r="A43" s="62" t="s">
        <v>125</v>
      </c>
      <c r="B43" s="62"/>
      <c r="C43" s="63">
        <v>621574</v>
      </c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5"/>
    </row>
  </sheetData>
  <mergeCells count="3">
    <mergeCell ref="A1:Z2"/>
    <mergeCell ref="S4:T4"/>
    <mergeCell ref="Y4:Z4"/>
  </mergeCells>
  <pageMargins left="0.28000000000000003" right="0.23" top="0.74803149606299213" bottom="0.74803149606299213" header="0.31496062992125984" footer="0.31496062992125984"/>
  <pageSetup paperSize="9" scale="55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C59"/>
  <sheetViews>
    <sheetView zoomScale="90" zoomScaleNormal="90" workbookViewId="0">
      <selection activeCell="A3" sqref="A3"/>
    </sheetView>
  </sheetViews>
  <sheetFormatPr defaultRowHeight="15" x14ac:dyDescent="0.25"/>
  <cols>
    <col min="1" max="1" width="33.5703125" customWidth="1"/>
    <col min="2" max="2" width="7.28515625" customWidth="1"/>
    <col min="3" max="3" width="8" customWidth="1"/>
    <col min="4" max="4" width="12.85546875" customWidth="1"/>
    <col min="5" max="5" width="13.28515625" customWidth="1"/>
    <col min="6" max="6" width="8.140625" bestFit="1" customWidth="1"/>
    <col min="7" max="7" width="9.140625" bestFit="1" customWidth="1"/>
    <col min="8" max="8" width="8.28515625" bestFit="1" customWidth="1"/>
    <col min="9" max="9" width="12" bestFit="1" customWidth="1"/>
    <col min="10" max="10" width="9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9" customWidth="1"/>
    <col min="16" max="16" width="7" bestFit="1" customWidth="1"/>
    <col min="17" max="17" width="8.140625" bestFit="1" customWidth="1"/>
    <col min="18" max="18" width="6.42578125" bestFit="1" customWidth="1"/>
    <col min="19" max="19" width="9.5703125" customWidth="1"/>
    <col min="20" max="20" width="7.42578125" customWidth="1"/>
    <col min="21" max="21" width="11.140625" customWidth="1"/>
    <col min="22" max="22" width="11.140625" bestFit="1" customWidth="1"/>
    <col min="23" max="23" width="9.28515625" bestFit="1" customWidth="1"/>
    <col min="24" max="24" width="14" bestFit="1" customWidth="1"/>
    <col min="25" max="25" width="9.85546875" bestFit="1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118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30" t="s">
        <v>1</v>
      </c>
      <c r="C4" s="130" t="s">
        <v>2</v>
      </c>
      <c r="D4" s="5" t="s">
        <v>3</v>
      </c>
      <c r="E4" s="5" t="s">
        <v>4</v>
      </c>
      <c r="F4" s="5" t="s">
        <v>102</v>
      </c>
      <c r="G4" s="131" t="s">
        <v>6</v>
      </c>
      <c r="H4" s="131" t="s">
        <v>7</v>
      </c>
      <c r="I4" s="5" t="s">
        <v>101</v>
      </c>
      <c r="J4" s="131" t="s">
        <v>9</v>
      </c>
      <c r="K4" s="131" t="s">
        <v>10</v>
      </c>
      <c r="L4" s="131" t="s">
        <v>11</v>
      </c>
      <c r="M4" s="131" t="s">
        <v>12</v>
      </c>
      <c r="N4" s="131" t="s">
        <v>13</v>
      </c>
      <c r="O4" s="5" t="s">
        <v>14</v>
      </c>
      <c r="P4" s="131" t="s">
        <v>15</v>
      </c>
      <c r="Q4" s="131" t="s">
        <v>16</v>
      </c>
      <c r="R4" s="131" t="s">
        <v>17</v>
      </c>
      <c r="S4" s="327" t="s">
        <v>18</v>
      </c>
      <c r="T4" s="328"/>
      <c r="U4" s="130" t="s">
        <v>19</v>
      </c>
      <c r="V4" s="131" t="s">
        <v>20</v>
      </c>
      <c r="W4" s="7" t="s">
        <v>21</v>
      </c>
      <c r="X4" s="7" t="s">
        <v>22</v>
      </c>
      <c r="Y4" s="329" t="s">
        <v>23</v>
      </c>
      <c r="Z4" s="330"/>
      <c r="AA4" s="127"/>
      <c r="AB4" s="127"/>
      <c r="AC4" s="127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28" t="s">
        <v>25</v>
      </c>
      <c r="U5" s="128" t="s">
        <v>25</v>
      </c>
      <c r="V5" s="128" t="s">
        <v>25</v>
      </c>
      <c r="W5" s="128" t="s">
        <v>25</v>
      </c>
      <c r="X5" s="129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20</v>
      </c>
      <c r="G6" s="19"/>
      <c r="H6" s="19">
        <v>20</v>
      </c>
      <c r="I6" s="19"/>
      <c r="J6" s="19">
        <v>10</v>
      </c>
      <c r="K6" s="19"/>
      <c r="L6" s="19"/>
      <c r="M6" s="19"/>
      <c r="N6" s="19"/>
      <c r="O6" s="19">
        <v>20</v>
      </c>
      <c r="P6" s="19"/>
      <c r="Q6" s="19">
        <v>20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19139.800000000003</v>
      </c>
      <c r="T6" s="21">
        <f>S6*100/$S$31</f>
        <v>2.6923336615557747</v>
      </c>
      <c r="U6" s="22"/>
      <c r="V6" s="22"/>
      <c r="W6" s="22"/>
      <c r="X6" s="23"/>
      <c r="Y6" s="20">
        <f>U6/100*$U$31+V6/100*$V$31+W6/100*$W$31+X6/100*$X$31+S6</f>
        <v>19139.800000000003</v>
      </c>
      <c r="Z6" s="25">
        <f t="shared" ref="Z6:Z28" si="0">Y6*100/$Y$31</f>
        <v>1.5861024811907332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1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ref="S8:S29" si="2">C8/100*$C$31+D8/100*$D$31+E8/100*$E$31+F8/100*$F$31+G8/100*$G$31+H8/100*$H$31+I8/100*$I$31+J8/100*$J$31+K8/100*$K$31+L8/100*$L$31+M8/100*$M$31+N8/100*$N$31+O8/100*$O$31+P8/100*$P$31+Q8/100*$Q$31+R8/100*$R$31</f>
        <v>0</v>
      </c>
      <c r="T8" s="21">
        <f>S8*100/$S$31</f>
        <v>0</v>
      </c>
      <c r="U8" s="22"/>
      <c r="V8" s="22"/>
      <c r="W8" s="22"/>
      <c r="X8" s="23"/>
      <c r="Y8" s="20">
        <f t="shared" si="1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2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1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2"/>
        <v>0</v>
      </c>
      <c r="T10" s="21">
        <f t="shared" si="3"/>
        <v>0</v>
      </c>
      <c r="U10" s="22"/>
      <c r="V10" s="22"/>
      <c r="W10" s="22"/>
      <c r="X10" s="23"/>
      <c r="Y10" s="20">
        <f t="shared" si="1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2"/>
        <v>0</v>
      </c>
      <c r="T11" s="21">
        <f t="shared" si="3"/>
        <v>0</v>
      </c>
      <c r="U11" s="22"/>
      <c r="V11" s="22"/>
      <c r="W11" s="22"/>
      <c r="X11" s="23"/>
      <c r="Y11" s="20">
        <f t="shared" si="1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2"/>
        <v>0</v>
      </c>
      <c r="T12" s="21">
        <f t="shared" si="3"/>
        <v>0</v>
      </c>
      <c r="U12" s="22"/>
      <c r="V12" s="22"/>
      <c r="W12" s="22"/>
      <c r="X12" s="23"/>
      <c r="Y12" s="20">
        <f t="shared" si="1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2"/>
        <v>0</v>
      </c>
      <c r="T13" s="21">
        <f t="shared" si="3"/>
        <v>0</v>
      </c>
      <c r="U13" s="22"/>
      <c r="V13" s="22"/>
      <c r="W13" s="22"/>
      <c r="X13" s="23"/>
      <c r="Y13" s="20">
        <f t="shared" si="1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2"/>
        <v>0</v>
      </c>
      <c r="T14" s="21">
        <f t="shared" si="3"/>
        <v>0</v>
      </c>
      <c r="U14" s="22"/>
      <c r="V14" s="22"/>
      <c r="W14" s="22"/>
      <c r="X14" s="23"/>
      <c r="Y14" s="20">
        <f t="shared" si="1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>
        <v>100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2"/>
        <v>12267</v>
      </c>
      <c r="T15" s="21">
        <f t="shared" si="3"/>
        <v>1.725559150372767</v>
      </c>
      <c r="U15" s="22"/>
      <c r="V15" s="33"/>
      <c r="W15" s="22"/>
      <c r="X15" s="23"/>
      <c r="Y15" s="20">
        <f t="shared" si="1"/>
        <v>12267</v>
      </c>
      <c r="Z15" s="25">
        <f t="shared" si="0"/>
        <v>1.0165581216505251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2"/>
        <v>575135</v>
      </c>
      <c r="T16" s="21">
        <f t="shared" si="3"/>
        <v>80.902377268251513</v>
      </c>
      <c r="U16" s="22"/>
      <c r="V16" s="33"/>
      <c r="W16" s="22"/>
      <c r="X16" s="23"/>
      <c r="Y16" s="20">
        <f t="shared" si="1"/>
        <v>575135</v>
      </c>
      <c r="Z16" s="25">
        <f t="shared" si="0"/>
        <v>47.661054479128943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80</v>
      </c>
      <c r="G17" s="22"/>
      <c r="H17" s="22">
        <v>80</v>
      </c>
      <c r="I17" s="22"/>
      <c r="J17" s="22">
        <v>90</v>
      </c>
      <c r="K17" s="22"/>
      <c r="L17" s="22"/>
      <c r="M17" s="22"/>
      <c r="N17" s="22"/>
      <c r="O17" s="22">
        <v>80</v>
      </c>
      <c r="P17" s="22"/>
      <c r="Q17" s="22">
        <v>80</v>
      </c>
      <c r="R17" s="22"/>
      <c r="S17" s="20">
        <f t="shared" si="2"/>
        <v>104358.20000000001</v>
      </c>
      <c r="T17" s="21">
        <f t="shared" si="3"/>
        <v>14.67972991981995</v>
      </c>
      <c r="U17" s="33">
        <v>5</v>
      </c>
      <c r="V17" s="22">
        <v>100</v>
      </c>
      <c r="W17" s="22"/>
      <c r="X17" s="23">
        <v>100</v>
      </c>
      <c r="Y17" s="20">
        <f t="shared" si="1"/>
        <v>300362.90000000002</v>
      </c>
      <c r="Z17" s="25">
        <f t="shared" si="0"/>
        <v>24.890873517364028</v>
      </c>
    </row>
    <row r="18" spans="1:27" x14ac:dyDescent="0.25">
      <c r="A18" s="35" t="s">
        <v>38</v>
      </c>
      <c r="B18" s="132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2"/>
        <v>0</v>
      </c>
      <c r="T18" s="21">
        <f>S18*100/$S$31</f>
        <v>0</v>
      </c>
      <c r="U18" s="33">
        <v>2</v>
      </c>
      <c r="V18" s="22"/>
      <c r="W18" s="22"/>
      <c r="X18" s="23"/>
      <c r="Y18" s="20">
        <f t="shared" si="1"/>
        <v>6311.88</v>
      </c>
      <c r="Z18" s="25">
        <f t="shared" si="0"/>
        <v>0.5230612926455952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2"/>
        <v>0</v>
      </c>
      <c r="T19" s="21">
        <f t="shared" ref="T19:T29" si="4">S19*100/$S$31</f>
        <v>0</v>
      </c>
      <c r="U19" s="33">
        <v>10</v>
      </c>
      <c r="V19" s="22"/>
      <c r="W19" s="22"/>
      <c r="X19" s="23"/>
      <c r="Y19" s="20">
        <f t="shared" si="1"/>
        <v>31559.4</v>
      </c>
      <c r="Z19" s="25">
        <f t="shared" si="0"/>
        <v>2.6153064632279759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2"/>
        <v>0</v>
      </c>
      <c r="T20" s="21">
        <f t="shared" si="4"/>
        <v>0</v>
      </c>
      <c r="U20" s="33"/>
      <c r="V20" s="22"/>
      <c r="W20" s="22"/>
      <c r="X20" s="23"/>
      <c r="Y20" s="20">
        <f t="shared" si="1"/>
        <v>0</v>
      </c>
      <c r="Z20" s="25">
        <f t="shared" si="0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2"/>
        <v>0</v>
      </c>
      <c r="T21" s="21">
        <f t="shared" si="4"/>
        <v>0</v>
      </c>
      <c r="U21" s="33">
        <v>2</v>
      </c>
      <c r="V21" s="22"/>
      <c r="W21" s="22"/>
      <c r="X21" s="23"/>
      <c r="Y21" s="20">
        <f t="shared" si="1"/>
        <v>6311.88</v>
      </c>
      <c r="Z21" s="25">
        <f t="shared" si="0"/>
        <v>0.5230612926455952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2"/>
        <v>0</v>
      </c>
      <c r="T22" s="21">
        <f t="shared" si="4"/>
        <v>0</v>
      </c>
      <c r="U22" s="33"/>
      <c r="V22" s="22"/>
      <c r="W22" s="22"/>
      <c r="X22" s="23"/>
      <c r="Y22" s="20">
        <f t="shared" si="1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2"/>
        <v>0</v>
      </c>
      <c r="T23" s="21">
        <f t="shared" si="4"/>
        <v>0</v>
      </c>
      <c r="U23" s="33">
        <v>20</v>
      </c>
      <c r="V23" s="22"/>
      <c r="W23" s="22"/>
      <c r="X23" s="23"/>
      <c r="Y23" s="20">
        <f t="shared" si="1"/>
        <v>63118.8</v>
      </c>
      <c r="Z23" s="25">
        <f t="shared" si="0"/>
        <v>5.2306129264559518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>C24/100*$C$31+D24/100*$D$31+E24/100*$E$31+F24/100*$F$31+G24/100*$G$31+H24/100*$H$31+I24/100*$I$31+J24/100*$J$31+K24/100*$K$31+L24/100*$L$31+M24/100*$M$31+N24/100*$N$31+O24/100*$O$31+P24/100*$P$31+Q24/100*$Q$31+R24/100*$R$31</f>
        <v>0</v>
      </c>
      <c r="T24" s="21">
        <f t="shared" si="4"/>
        <v>0</v>
      </c>
      <c r="U24" s="22"/>
      <c r="V24" s="22"/>
      <c r="W24" s="22"/>
      <c r="X24" s="23"/>
      <c r="Y24" s="20">
        <f t="shared" si="1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2"/>
        <v>0</v>
      </c>
      <c r="T25" s="21">
        <f t="shared" si="4"/>
        <v>0</v>
      </c>
      <c r="U25" s="33">
        <v>15</v>
      </c>
      <c r="V25" s="22"/>
      <c r="W25" s="22"/>
      <c r="X25" s="23"/>
      <c r="Y25" s="20">
        <f t="shared" si="1"/>
        <v>47339.1</v>
      </c>
      <c r="Z25" s="25">
        <f t="shared" si="0"/>
        <v>3.9229596948419641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2"/>
        <v>0</v>
      </c>
      <c r="T26" s="21">
        <f t="shared" si="4"/>
        <v>0</v>
      </c>
      <c r="U26" s="22">
        <v>10</v>
      </c>
      <c r="V26" s="22"/>
      <c r="W26" s="22"/>
      <c r="X26" s="23"/>
      <c r="Y26" s="20">
        <f t="shared" si="1"/>
        <v>31559.4</v>
      </c>
      <c r="Z26" s="25">
        <f t="shared" si="0"/>
        <v>2.6153064632279759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2"/>
        <v>0</v>
      </c>
      <c r="T27" s="21">
        <f t="shared" si="4"/>
        <v>0</v>
      </c>
      <c r="U27" s="33"/>
      <c r="V27" s="22"/>
      <c r="W27" s="22"/>
      <c r="X27" s="23"/>
      <c r="Y27" s="20">
        <f t="shared" si="1"/>
        <v>0</v>
      </c>
      <c r="Z27" s="25">
        <f t="shared" si="0"/>
        <v>0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2"/>
        <v>0</v>
      </c>
      <c r="T28" s="21">
        <f t="shared" si="4"/>
        <v>0</v>
      </c>
      <c r="U28" s="33">
        <v>5</v>
      </c>
      <c r="V28" s="22"/>
      <c r="W28" s="22"/>
      <c r="X28" s="23"/>
      <c r="Y28" s="20">
        <f t="shared" si="1"/>
        <v>15779.7</v>
      </c>
      <c r="Z28" s="25">
        <f t="shared" si="0"/>
        <v>1.3076532316139879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2"/>
        <v>0</v>
      </c>
      <c r="T29" s="40">
        <f t="shared" si="4"/>
        <v>0</v>
      </c>
      <c r="U29" s="38">
        <v>31</v>
      </c>
      <c r="V29" s="38"/>
      <c r="W29" s="38"/>
      <c r="X29" s="41"/>
      <c r="Y29" s="39">
        <f t="shared" si="1"/>
        <v>97834.14</v>
      </c>
      <c r="Z29" s="42">
        <f>Y29*100/$Y$31</f>
        <v>8.1074500360067265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100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100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710900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100</v>
      </c>
      <c r="Y30" s="39">
        <f>SUM(Y6:Y29)</f>
        <v>1206719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1034</v>
      </c>
      <c r="D31" s="47">
        <v>11233</v>
      </c>
      <c r="E31" s="47">
        <v>109633</v>
      </c>
      <c r="F31" s="47">
        <v>26661</v>
      </c>
      <c r="G31" s="47">
        <v>465502</v>
      </c>
      <c r="H31" s="47">
        <v>2479</v>
      </c>
      <c r="I31" s="47">
        <v>0</v>
      </c>
      <c r="J31" s="47">
        <v>55598</v>
      </c>
      <c r="K31" s="47">
        <v>0</v>
      </c>
      <c r="L31" s="47">
        <v>0</v>
      </c>
      <c r="M31" s="47">
        <v>0</v>
      </c>
      <c r="N31" s="47">
        <v>0</v>
      </c>
      <c r="O31" s="47">
        <v>306</v>
      </c>
      <c r="P31" s="47">
        <v>0</v>
      </c>
      <c r="Q31" s="47">
        <v>38454</v>
      </c>
      <c r="R31" s="47">
        <v>0</v>
      </c>
      <c r="S31" s="48">
        <f>SUM(C31:R31)</f>
        <v>710900</v>
      </c>
      <c r="T31" s="48">
        <f>S31*100/$S$31</f>
        <v>100</v>
      </c>
      <c r="U31" s="47">
        <v>315594</v>
      </c>
      <c r="V31" s="47">
        <v>157914</v>
      </c>
      <c r="W31" s="47">
        <v>0</v>
      </c>
      <c r="X31" s="141">
        <v>22311</v>
      </c>
      <c r="Y31" s="48">
        <f>+S31+U31+V31+W31+X31</f>
        <v>1206719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 t="s">
        <v>119</v>
      </c>
      <c r="C37" s="38"/>
      <c r="D37" s="38"/>
      <c r="E37" s="38"/>
      <c r="F37" s="41"/>
      <c r="G37" s="10"/>
    </row>
    <row r="38" spans="1:19" x14ac:dyDescent="0.25">
      <c r="A38" t="s">
        <v>58</v>
      </c>
      <c r="G38" s="10"/>
      <c r="S38" s="81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 t="s">
        <v>96</v>
      </c>
      <c r="C42" s="62" t="s">
        <v>97</v>
      </c>
      <c r="D42" s="62"/>
      <c r="E42" s="62"/>
    </row>
    <row r="43" spans="1:19" x14ac:dyDescent="0.25">
      <c r="A43" s="62" t="s">
        <v>120</v>
      </c>
      <c r="B43" s="62"/>
      <c r="C43" s="63">
        <v>1206719</v>
      </c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1"/>
    </row>
    <row r="46" spans="1:19" ht="18.75" x14ac:dyDescent="0.3">
      <c r="A46" s="142"/>
      <c r="B46" s="65"/>
    </row>
    <row r="59" spans="24:24" x14ac:dyDescent="0.25">
      <c r="X59" s="153">
        <f>+X31/4/U31</f>
        <v>1.7673815091541666E-2</v>
      </c>
    </row>
  </sheetData>
  <mergeCells count="3">
    <mergeCell ref="A1:Z2"/>
    <mergeCell ref="S4:T4"/>
    <mergeCell ref="Y4:Z4"/>
  </mergeCells>
  <pageMargins left="0.35" right="0.23" top="0.74803149606299213" bottom="0.74803149606299213" header="0.31496062992125984" footer="0.31496062992125984"/>
  <pageSetup paperSize="9" scale="55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3" customWidth="1"/>
    <col min="2" max="2" width="6.42578125" customWidth="1"/>
    <col min="3" max="3" width="7.28515625" customWidth="1"/>
    <col min="4" max="4" width="12.5703125" customWidth="1"/>
    <col min="5" max="5" width="12.42578125" customWidth="1"/>
    <col min="6" max="6" width="8.140625" customWidth="1"/>
    <col min="7" max="7" width="10.7109375" customWidth="1"/>
    <col min="8" max="8" width="8.28515625" customWidth="1"/>
    <col min="9" max="9" width="10.7109375" customWidth="1"/>
    <col min="10" max="10" width="9.140625" bestFit="1" customWidth="1"/>
    <col min="11" max="12" width="5.5703125" customWidth="1"/>
    <col min="13" max="13" width="5.7109375" bestFit="1" customWidth="1"/>
    <col min="14" max="14" width="7.85546875" customWidth="1"/>
    <col min="15" max="15" width="8.5703125" customWidth="1"/>
    <col min="16" max="16" width="7" bestFit="1" customWidth="1"/>
    <col min="17" max="17" width="9" customWidth="1"/>
    <col min="18" max="18" width="6.5703125" customWidth="1"/>
    <col min="19" max="19" width="10.140625" customWidth="1"/>
    <col min="20" max="20" width="6.140625" customWidth="1"/>
    <col min="21" max="21" width="10.42578125" customWidth="1"/>
    <col min="22" max="22" width="10.5703125" customWidth="1"/>
    <col min="23" max="23" width="9" customWidth="1"/>
    <col min="24" max="24" width="12.28515625" customWidth="1"/>
    <col min="25" max="25" width="10.140625" customWidth="1"/>
    <col min="26" max="26" width="6.42578125" customWidth="1"/>
    <col min="27" max="27" width="1.85546875" customWidth="1"/>
  </cols>
  <sheetData>
    <row r="1" spans="1:29" ht="15" customHeight="1" x14ac:dyDescent="0.25">
      <c r="A1" s="325" t="s">
        <v>252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5" t="s">
        <v>3</v>
      </c>
      <c r="E4" s="5" t="s">
        <v>79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5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10</v>
      </c>
      <c r="D6" s="19"/>
      <c r="E6" s="19"/>
      <c r="F6" s="19">
        <v>10</v>
      </c>
      <c r="G6" s="19"/>
      <c r="H6" s="19">
        <v>15</v>
      </c>
      <c r="I6" s="19"/>
      <c r="J6" s="19">
        <v>10</v>
      </c>
      <c r="K6" s="19"/>
      <c r="L6" s="19"/>
      <c r="M6" s="19"/>
      <c r="N6" s="19"/>
      <c r="O6" s="19"/>
      <c r="P6" s="19"/>
      <c r="Q6" s="19">
        <v>10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39690.950000000004</v>
      </c>
      <c r="T6" s="21">
        <f>S6*100/$S$31</f>
        <v>1.1147658991471361</v>
      </c>
      <c r="U6" s="22"/>
      <c r="V6" s="22"/>
      <c r="W6" s="22"/>
      <c r="X6" s="23"/>
      <c r="Y6" s="20">
        <f>U6/100*$U$31+V6/100*$V$31+W6/100*$W$31+X6/100*$X$31+S6</f>
        <v>39690.950000000004</v>
      </c>
      <c r="Z6" s="25">
        <f t="shared" ref="Z6:Z28" si="0">Y6*100/$Y$31</f>
        <v>0.72188949735031616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>
        <v>90</v>
      </c>
      <c r="D8" s="22"/>
      <c r="E8" s="22"/>
      <c r="F8" s="22">
        <v>5</v>
      </c>
      <c r="G8" s="22"/>
      <c r="H8" s="22"/>
      <c r="I8" s="22"/>
      <c r="J8" s="22">
        <v>13</v>
      </c>
      <c r="K8" s="22"/>
      <c r="L8" s="22"/>
      <c r="M8" s="22"/>
      <c r="N8" s="22"/>
      <c r="O8" s="22"/>
      <c r="P8" s="22"/>
      <c r="Q8" s="22"/>
      <c r="R8" s="22"/>
      <c r="S8" s="20">
        <f>C8/100*$C$31+D8/100*$D$31+E8/100*$E$31+F8/100*$F$31+G8/100*$G$31+H8/100*$H$31+I8/100*$I$31+J8/100*$J$31+K8/100*$K$31+L8/100*$L$31+M8/100*$M$31+N8/100*$N$31+O8/100*$O$31+P8/100*$P$31+Q8/100*$Q$31+R8/100*$R$31</f>
        <v>24670.32</v>
      </c>
      <c r="T8" s="21">
        <f>S8*100/$S$31</f>
        <v>0.69289426070798443</v>
      </c>
      <c r="U8" s="22"/>
      <c r="V8" s="22"/>
      <c r="W8" s="22"/>
      <c r="X8" s="23"/>
      <c r="Y8" s="20">
        <f t="shared" si="2"/>
        <v>24670.32</v>
      </c>
      <c r="Z8" s="25">
        <f t="shared" si="0"/>
        <v>0.44869787456010629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258" t="s">
        <v>25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3"/>
        <v>0</v>
      </c>
      <c r="U15" s="22"/>
      <c r="V15" s="33"/>
      <c r="W15" s="22"/>
      <c r="X15" s="23"/>
      <c r="Y15" s="20">
        <f t="shared" si="2"/>
        <v>0</v>
      </c>
      <c r="Z15" s="25">
        <f t="shared" si="0"/>
        <v>0</v>
      </c>
    </row>
    <row r="16" spans="1:29" x14ac:dyDescent="0.25">
      <c r="A16" s="29" t="s">
        <v>36</v>
      </c>
      <c r="B16" s="72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3163594</v>
      </c>
      <c r="T16" s="21">
        <f t="shared" si="3"/>
        <v>88.853169549897004</v>
      </c>
      <c r="U16" s="22"/>
      <c r="V16" s="33"/>
      <c r="W16" s="22"/>
      <c r="X16" s="23"/>
      <c r="Y16" s="20">
        <f t="shared" si="2"/>
        <v>3163594</v>
      </c>
      <c r="Z16" s="25">
        <f t="shared" si="0"/>
        <v>57.5386903684713</v>
      </c>
    </row>
    <row r="17" spans="1:27" x14ac:dyDescent="0.25">
      <c r="A17" s="28" t="s">
        <v>37</v>
      </c>
      <c r="B17" s="30" t="s">
        <v>25</v>
      </c>
      <c r="C17" s="22"/>
      <c r="D17" s="22"/>
      <c r="E17" s="22"/>
      <c r="F17" s="22">
        <v>85</v>
      </c>
      <c r="G17" s="22"/>
      <c r="H17" s="22">
        <v>85</v>
      </c>
      <c r="I17" s="22"/>
      <c r="J17" s="22">
        <v>77</v>
      </c>
      <c r="K17" s="22"/>
      <c r="L17" s="22"/>
      <c r="M17" s="22"/>
      <c r="N17" s="22"/>
      <c r="O17" s="22"/>
      <c r="P17" s="22"/>
      <c r="Q17" s="22">
        <v>90</v>
      </c>
      <c r="R17" s="22"/>
      <c r="S17" s="20">
        <f t="shared" si="1"/>
        <v>332518.73</v>
      </c>
      <c r="T17" s="21">
        <f t="shared" si="3"/>
        <v>9.3391702902478713</v>
      </c>
      <c r="U17" s="134">
        <v>1.7595000000000001</v>
      </c>
      <c r="V17" s="22">
        <v>100</v>
      </c>
      <c r="W17" s="22"/>
      <c r="X17" s="23"/>
      <c r="Y17" s="20">
        <f>U17/100*$U$31+V17/100*$V$31+W17/100*$W$31+X17/100*$X$31+S17</f>
        <v>1134178.8695199999</v>
      </c>
      <c r="Z17" s="25">
        <f t="shared" si="0"/>
        <v>20.628173778232632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134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134">
        <v>35.155299999999997</v>
      </c>
      <c r="V19" s="22"/>
      <c r="W19" s="22"/>
      <c r="X19" s="23"/>
      <c r="Y19" s="20">
        <f t="shared" si="2"/>
        <v>406541.51404799992</v>
      </c>
      <c r="Z19" s="25">
        <f t="shared" si="0"/>
        <v>7.3940797392893627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134">
        <v>2.5157000000000003</v>
      </c>
      <c r="V20" s="22"/>
      <c r="W20" s="22"/>
      <c r="X20" s="23"/>
      <c r="Y20" s="20">
        <f t="shared" si="2"/>
        <v>29091.957312000002</v>
      </c>
      <c r="Z20" s="25">
        <f t="shared" si="0"/>
        <v>0.52911755553587236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134">
        <v>2.62</v>
      </c>
      <c r="V21" s="22"/>
      <c r="W21" s="22"/>
      <c r="X21" s="23"/>
      <c r="Y21" s="20">
        <f t="shared" si="2"/>
        <v>30298.099200000001</v>
      </c>
      <c r="Z21" s="25">
        <f t="shared" si="0"/>
        <v>0.55105457546765735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134">
        <v>0.78200000000000003</v>
      </c>
      <c r="V22" s="22"/>
      <c r="W22" s="22"/>
      <c r="X22" s="23"/>
      <c r="Y22" s="20">
        <f t="shared" si="2"/>
        <v>9043.1731200000013</v>
      </c>
      <c r="Z22" s="25">
        <f t="shared" si="0"/>
        <v>0.16447506794492675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134">
        <v>25.475000000000001</v>
      </c>
      <c r="V23" s="22"/>
      <c r="W23" s="22"/>
      <c r="X23" s="23"/>
      <c r="Y23" s="20">
        <f t="shared" si="2"/>
        <v>294596.97600000002</v>
      </c>
      <c r="Z23" s="25">
        <f t="shared" si="0"/>
        <v>5.3580592786406758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134">
        <v>7.8540000000000001</v>
      </c>
      <c r="V24" s="22"/>
      <c r="W24" s="22"/>
      <c r="X24" s="23"/>
      <c r="Y24" s="20">
        <f t="shared" si="2"/>
        <v>90824.912639999995</v>
      </c>
      <c r="Z24" s="25">
        <f t="shared" si="0"/>
        <v>1.6519017693599161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134">
        <v>6.91</v>
      </c>
      <c r="V25" s="22"/>
      <c r="W25" s="22"/>
      <c r="X25" s="23"/>
      <c r="Y25" s="20">
        <f t="shared" si="2"/>
        <v>79908.345600000001</v>
      </c>
      <c r="Z25" s="25">
        <f t="shared" si="0"/>
        <v>1.4533538612524857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134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134">
        <v>4.2110000000000003</v>
      </c>
      <c r="V27" s="22"/>
      <c r="W27" s="22"/>
      <c r="X27" s="23"/>
      <c r="Y27" s="20">
        <f t="shared" si="2"/>
        <v>48696.677759999999</v>
      </c>
      <c r="Z27" s="25">
        <f t="shared" si="0"/>
        <v>0.88568351805126144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134">
        <v>8.5395000000000003</v>
      </c>
      <c r="V28" s="22"/>
      <c r="W28" s="22"/>
      <c r="X28" s="23"/>
      <c r="Y28" s="20">
        <f t="shared" si="2"/>
        <v>98752.144319999992</v>
      </c>
      <c r="Z28" s="25">
        <f t="shared" si="0"/>
        <v>1.7960803615290304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178">
        <v>4.1779999999999999</v>
      </c>
      <c r="V29" s="38"/>
      <c r="W29" s="38"/>
      <c r="X29" s="41"/>
      <c r="Y29" s="39">
        <f t="shared" si="2"/>
        <v>48315.06048</v>
      </c>
      <c r="Z29" s="42">
        <f>Y29*100/$Y$31</f>
        <v>0.87874275431445514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3560474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5498203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709</v>
      </c>
      <c r="D31" s="47">
        <v>0</v>
      </c>
      <c r="E31" s="47">
        <v>756922</v>
      </c>
      <c r="F31" s="47">
        <v>10034</v>
      </c>
      <c r="G31" s="47">
        <v>2406672</v>
      </c>
      <c r="H31" s="47">
        <v>59</v>
      </c>
      <c r="I31" s="47">
        <v>0</v>
      </c>
      <c r="J31" s="47">
        <v>181004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205074</v>
      </c>
      <c r="R31" s="47">
        <v>0</v>
      </c>
      <c r="S31" s="48">
        <f>SUM(C31:R31)</f>
        <v>3560474</v>
      </c>
      <c r="T31" s="48">
        <f>S31*100/$S$31</f>
        <v>100</v>
      </c>
      <c r="U31" s="47">
        <v>1156416</v>
      </c>
      <c r="V31" s="47">
        <v>781313</v>
      </c>
      <c r="W31" s="47">
        <v>0</v>
      </c>
      <c r="X31" s="141">
        <v>0</v>
      </c>
      <c r="Y31" s="48">
        <f>+S31+U31+V31+W31+X31</f>
        <v>5498203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Y34" s="99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  <c r="U35" s="81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B39" s="61"/>
      <c r="G39" s="10"/>
    </row>
    <row r="40" spans="1:25" ht="18.75" x14ac:dyDescent="0.3"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253</v>
      </c>
      <c r="B43" s="62"/>
      <c r="C43" s="63">
        <v>3284108</v>
      </c>
      <c r="F43" s="64"/>
      <c r="G43" s="64"/>
    </row>
    <row r="44" spans="1:25" x14ac:dyDescent="0.25">
      <c r="A44" s="62" t="s">
        <v>254</v>
      </c>
      <c r="B44" s="62"/>
      <c r="C44" s="63">
        <v>2214094</v>
      </c>
    </row>
    <row r="45" spans="1:25" ht="18.75" x14ac:dyDescent="0.3">
      <c r="A45" s="60"/>
      <c r="B45" s="61"/>
      <c r="C45">
        <f>SUM(C43:C44)</f>
        <v>5498202</v>
      </c>
    </row>
  </sheetData>
  <mergeCells count="3">
    <mergeCell ref="A1:Z2"/>
    <mergeCell ref="S4:T4"/>
    <mergeCell ref="Y4:Z4"/>
  </mergeCells>
  <pageMargins left="0.27" right="0.37" top="0.74803149606299213" bottom="0.74803149606299213" header="0.31496062992125984" footer="0.31496062992125984"/>
  <pageSetup paperSize="9" scale="5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3.7109375" customWidth="1"/>
    <col min="2" max="2" width="6.42578125" customWidth="1"/>
    <col min="3" max="3" width="8.5703125" customWidth="1"/>
    <col min="4" max="4" width="12.42578125" customWidth="1"/>
    <col min="5" max="5" width="13" customWidth="1"/>
    <col min="6" max="6" width="9.5703125" customWidth="1"/>
    <col min="7" max="7" width="10.7109375" bestFit="1" customWidth="1"/>
    <col min="8" max="8" width="8.28515625" bestFit="1" customWidth="1"/>
    <col min="9" max="9" width="11.28515625" customWidth="1"/>
    <col min="10" max="10" width="9.140625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7.85546875" customWidth="1"/>
    <col min="15" max="15" width="8.85546875" customWidth="1"/>
    <col min="16" max="16" width="7" bestFit="1" customWidth="1"/>
    <col min="17" max="17" width="9.140625" bestFit="1" customWidth="1"/>
    <col min="18" max="18" width="6.7109375" customWidth="1"/>
    <col min="19" max="19" width="9.85546875" customWidth="1"/>
    <col min="20" max="20" width="6.85546875" customWidth="1"/>
    <col min="21" max="22" width="11.140625" customWidth="1"/>
    <col min="23" max="23" width="9.28515625" bestFit="1" customWidth="1"/>
    <col min="24" max="24" width="13.140625" customWidth="1"/>
    <col min="25" max="25" width="11" customWidth="1"/>
    <col min="26" max="26" width="7.42578125" customWidth="1"/>
    <col min="27" max="27" width="1.85546875" customWidth="1"/>
  </cols>
  <sheetData>
    <row r="1" spans="1:29" ht="15" customHeight="1" x14ac:dyDescent="0.25">
      <c r="A1" s="325" t="s">
        <v>221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1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4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6" t="s">
        <v>15</v>
      </c>
      <c r="Q4" s="246" t="s">
        <v>16</v>
      </c>
      <c r="R4" s="246" t="s">
        <v>17</v>
      </c>
      <c r="S4" s="335" t="s">
        <v>18</v>
      </c>
      <c r="T4" s="336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30" t="s">
        <v>24</v>
      </c>
      <c r="T5" s="51" t="s">
        <v>25</v>
      </c>
      <c r="U5" s="206" t="s">
        <v>25</v>
      </c>
      <c r="V5" s="206" t="s">
        <v>25</v>
      </c>
      <c r="W5" s="206" t="s">
        <v>25</v>
      </c>
      <c r="X5" s="207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10</v>
      </c>
      <c r="K6" s="19"/>
      <c r="L6" s="19"/>
      <c r="M6" s="19"/>
      <c r="N6" s="19"/>
      <c r="O6" s="19"/>
      <c r="P6" s="19"/>
      <c r="Q6" s="19">
        <v>15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197363.65000000002</v>
      </c>
      <c r="T6" s="140">
        <f>S6*100/$S$31</f>
        <v>2.632771691984749</v>
      </c>
      <c r="U6" s="22"/>
      <c r="V6" s="22"/>
      <c r="W6" s="22"/>
      <c r="X6" s="23"/>
      <c r="Y6" s="20">
        <f>U6/100*$U$31+V6/100*$V$31+W6/100*$W$31+X6/100*$X$31+S6</f>
        <v>197363.65000000002</v>
      </c>
      <c r="Z6" s="25">
        <f t="shared" ref="Z6:Z28" si="0">Y6*100/$Y$31</f>
        <v>1.2184778852761564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>
        <v>2</v>
      </c>
      <c r="V7" s="22">
        <v>7</v>
      </c>
      <c r="W7" s="22"/>
      <c r="X7" s="23"/>
      <c r="Y7" s="20">
        <f t="shared" ref="Y7:Y29" si="3">U7/100*$U$31+V7/100*$V$31+W7/100*$W$31+X7/100*$X$31+S7</f>
        <v>367499.77000000008</v>
      </c>
      <c r="Z7" s="25">
        <f t="shared" si="0"/>
        <v>2.2688592483422041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>C8/100*$C$31+D8/100*$D$31+E8/100*$E$31+F8/100*$F$31+G8/100*$G$31+H8/100*$H$31+I8/100*$I$31+J8/100*$J$31+K8/100*$K$31+L8/100*$L$31+M8/100*$M$31+N8/100*$N$31+O8/100*$O$31+P8/100*$P$31+Q8/100*$Q$31+R8/100*$R$31</f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2"/>
      <c r="V15" s="33"/>
      <c r="W15" s="22"/>
      <c r="X15" s="23"/>
      <c r="Y15" s="20">
        <f t="shared" si="3"/>
        <v>0</v>
      </c>
      <c r="Z15" s="25">
        <f>Y15*100/$Y$31</f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5838427</v>
      </c>
      <c r="T16" s="21">
        <f t="shared" si="2"/>
        <v>77.882859033664204</v>
      </c>
      <c r="U16" s="22"/>
      <c r="V16" s="33"/>
      <c r="W16" s="22"/>
      <c r="X16" s="23"/>
      <c r="Y16" s="20">
        <f t="shared" si="3"/>
        <v>5838427</v>
      </c>
      <c r="Z16" s="25">
        <f t="shared" ref="Z16" si="4">Y16*100/$Y$31</f>
        <v>36.045108530872895</v>
      </c>
    </row>
    <row r="17" spans="1:27" x14ac:dyDescent="0.25">
      <c r="A17" s="34" t="s">
        <v>37</v>
      </c>
      <c r="B17" s="14" t="s">
        <v>25</v>
      </c>
      <c r="C17" s="22">
        <v>100</v>
      </c>
      <c r="D17" s="22"/>
      <c r="E17" s="22"/>
      <c r="F17" s="22">
        <v>85</v>
      </c>
      <c r="G17" s="22"/>
      <c r="H17" s="22">
        <v>85</v>
      </c>
      <c r="I17" s="22"/>
      <c r="J17" s="22">
        <v>90</v>
      </c>
      <c r="K17" s="22"/>
      <c r="L17" s="22"/>
      <c r="M17" s="22"/>
      <c r="N17" s="22"/>
      <c r="O17" s="22"/>
      <c r="P17" s="22"/>
      <c r="Q17" s="22">
        <v>85</v>
      </c>
      <c r="R17" s="22"/>
      <c r="S17" s="20">
        <f t="shared" si="1"/>
        <v>1460630.3499999999</v>
      </c>
      <c r="T17" s="21">
        <f t="shared" si="2"/>
        <v>19.484369274351053</v>
      </c>
      <c r="U17" s="33">
        <v>9</v>
      </c>
      <c r="V17" s="22">
        <v>93</v>
      </c>
      <c r="W17" s="22"/>
      <c r="X17" s="23"/>
      <c r="Y17" s="20">
        <f t="shared" si="3"/>
        <v>5494147.0300000003</v>
      </c>
      <c r="Z17" s="25">
        <f t="shared" si="0"/>
        <v>33.919602999390584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44</v>
      </c>
      <c r="V19" s="22"/>
      <c r="W19" s="22"/>
      <c r="X19" s="23"/>
      <c r="Y19" s="20">
        <f t="shared" si="3"/>
        <v>2125901.7999999998</v>
      </c>
      <c r="Z19" s="25">
        <f t="shared" si="0"/>
        <v>13.124829874035941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4</v>
      </c>
      <c r="V20" s="22"/>
      <c r="W20" s="22"/>
      <c r="X20" s="23"/>
      <c r="Y20" s="20">
        <f t="shared" si="3"/>
        <v>193263.80000000002</v>
      </c>
      <c r="Z20" s="25">
        <f t="shared" si="0"/>
        <v>1.1931663521850857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1</v>
      </c>
      <c r="V21" s="22"/>
      <c r="W21" s="22"/>
      <c r="X21" s="23"/>
      <c r="Y21" s="20">
        <f t="shared" si="3"/>
        <v>48315.950000000004</v>
      </c>
      <c r="Z21" s="25">
        <f t="shared" si="0"/>
        <v>0.29829158804627143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15</v>
      </c>
      <c r="V22" s="22"/>
      <c r="W22" s="22"/>
      <c r="X22" s="23"/>
      <c r="Y22" s="20">
        <f t="shared" si="3"/>
        <v>724739.25</v>
      </c>
      <c r="Z22" s="25">
        <f t="shared" si="0"/>
        <v>4.4743738206940717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8</v>
      </c>
      <c r="V23" s="22"/>
      <c r="W23" s="22"/>
      <c r="X23" s="23"/>
      <c r="Y23" s="20">
        <f t="shared" si="3"/>
        <v>386527.60000000003</v>
      </c>
      <c r="Z23" s="25">
        <f t="shared" si="0"/>
        <v>2.3863327043701714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0</v>
      </c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4</v>
      </c>
      <c r="V25" s="22"/>
      <c r="W25" s="22"/>
      <c r="X25" s="23"/>
      <c r="Y25" s="20">
        <f t="shared" si="3"/>
        <v>193263.80000000002</v>
      </c>
      <c r="Z25" s="25">
        <f t="shared" si="0"/>
        <v>1.1931663521850857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>
        <v>0</v>
      </c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6</v>
      </c>
      <c r="V27" s="22"/>
      <c r="W27" s="22"/>
      <c r="X27" s="23"/>
      <c r="Y27" s="20">
        <f t="shared" si="3"/>
        <v>289895.7</v>
      </c>
      <c r="Z27" s="25">
        <f t="shared" si="0"/>
        <v>1.7897495282776286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7</v>
      </c>
      <c r="V28" s="22"/>
      <c r="W28" s="22"/>
      <c r="X28" s="23"/>
      <c r="Y28" s="20">
        <f t="shared" si="3"/>
        <v>338211.65</v>
      </c>
      <c r="Z28" s="25">
        <f t="shared" si="0"/>
        <v>2.0880411163238999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7496421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16197557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29564</v>
      </c>
      <c r="D31" s="47">
        <v>0</v>
      </c>
      <c r="E31" s="47">
        <v>583872</v>
      </c>
      <c r="F31" s="47">
        <v>276272</v>
      </c>
      <c r="G31" s="47">
        <v>5254555</v>
      </c>
      <c r="H31" s="47">
        <v>1617</v>
      </c>
      <c r="I31" s="47">
        <v>0</v>
      </c>
      <c r="J31" s="47">
        <v>938017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412524</v>
      </c>
      <c r="R31" s="47">
        <v>0</v>
      </c>
      <c r="S31" s="48">
        <f>SUM(C31:R31)</f>
        <v>7496421</v>
      </c>
      <c r="T31" s="48">
        <f>S31*100/$S$31</f>
        <v>100</v>
      </c>
      <c r="U31" s="47">
        <v>4831595</v>
      </c>
      <c r="V31" s="47">
        <v>3869541</v>
      </c>
      <c r="W31" s="47">
        <v>0</v>
      </c>
      <c r="X31" s="141">
        <v>0</v>
      </c>
      <c r="Y31" s="48">
        <f>+S31+U31+V31+W31+X31</f>
        <v>16197557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ht="18.75" x14ac:dyDescent="0.3">
      <c r="A40" s="60"/>
      <c r="B40" s="61"/>
      <c r="G40" s="10"/>
    </row>
    <row r="41" spans="1:19" ht="18.75" x14ac:dyDescent="0.3">
      <c r="B41" s="61"/>
    </row>
    <row r="42" spans="1:19" x14ac:dyDescent="0.25">
      <c r="A42" s="10"/>
      <c r="C42" s="62"/>
      <c r="D42" s="180"/>
      <c r="E42" s="180"/>
    </row>
    <row r="43" spans="1:19" x14ac:dyDescent="0.25">
      <c r="A43" s="62"/>
      <c r="B43" s="62"/>
      <c r="C43" s="63"/>
      <c r="D43" s="99"/>
      <c r="E43" s="99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5"/>
    </row>
  </sheetData>
  <mergeCells count="3">
    <mergeCell ref="A1:Z2"/>
    <mergeCell ref="S4:T4"/>
    <mergeCell ref="Y4:Z4"/>
  </mergeCells>
  <pageMargins left="0.3" right="0.2" top="0.74803149606299213" bottom="0.74803149606299213" header="0.31496062992125984" footer="0.31496062992125984"/>
  <pageSetup paperSize="9" scale="55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C47"/>
  <sheetViews>
    <sheetView zoomScale="90" zoomScaleNormal="90" workbookViewId="0">
      <selection activeCell="I37" sqref="I37"/>
    </sheetView>
  </sheetViews>
  <sheetFormatPr defaultRowHeight="15" x14ac:dyDescent="0.25"/>
  <cols>
    <col min="1" max="1" width="33.7109375" customWidth="1"/>
    <col min="2" max="2" width="6.7109375" customWidth="1"/>
    <col min="3" max="3" width="8.7109375" customWidth="1"/>
    <col min="4" max="5" width="13" customWidth="1"/>
    <col min="6" max="6" width="8.85546875" customWidth="1"/>
    <col min="7" max="7" width="10.5703125" customWidth="1"/>
    <col min="8" max="8" width="8.140625" customWidth="1"/>
    <col min="9" max="9" width="11.28515625" customWidth="1"/>
    <col min="10" max="10" width="8.85546875" bestFit="1" customWidth="1"/>
    <col min="11" max="11" width="4.85546875" bestFit="1" customWidth="1"/>
    <col min="12" max="12" width="6.7109375" customWidth="1"/>
    <col min="13" max="13" width="6.140625" customWidth="1"/>
    <col min="14" max="14" width="7.5703125" customWidth="1"/>
    <col min="15" max="15" width="8.85546875" customWidth="1"/>
    <col min="16" max="16" width="6.5703125" customWidth="1"/>
    <col min="17" max="17" width="9.140625" bestFit="1" customWidth="1"/>
    <col min="18" max="18" width="6.42578125" bestFit="1" customWidth="1"/>
    <col min="19" max="19" width="10.28515625" customWidth="1"/>
    <col min="20" max="20" width="6.7109375" customWidth="1"/>
    <col min="21" max="21" width="10.85546875" customWidth="1"/>
    <col min="22" max="22" width="10.5703125" customWidth="1"/>
    <col min="23" max="23" width="9.42578125" customWidth="1"/>
    <col min="24" max="24" width="13.85546875" customWidth="1"/>
    <col min="25" max="25" width="10.85546875" customWidth="1"/>
    <col min="26" max="26" width="6.42578125" customWidth="1"/>
    <col min="27" max="27" width="1.85546875" customWidth="1"/>
  </cols>
  <sheetData>
    <row r="1" spans="1:29" x14ac:dyDescent="0.25">
      <c r="A1" s="325" t="s">
        <v>206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91" t="s">
        <v>3</v>
      </c>
      <c r="E4" s="91" t="s">
        <v>79</v>
      </c>
      <c r="F4" s="91" t="s">
        <v>102</v>
      </c>
      <c r="G4" s="91" t="s">
        <v>105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5</v>
      </c>
      <c r="D6" s="19"/>
      <c r="E6" s="19"/>
      <c r="F6" s="19">
        <v>15</v>
      </c>
      <c r="G6" s="19"/>
      <c r="H6" s="19">
        <v>20</v>
      </c>
      <c r="I6" s="19"/>
      <c r="J6" s="19">
        <v>10</v>
      </c>
      <c r="K6" s="19"/>
      <c r="L6" s="19"/>
      <c r="M6" s="19"/>
      <c r="N6" s="19"/>
      <c r="O6" s="19"/>
      <c r="P6" s="19"/>
      <c r="Q6" s="19">
        <v>20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119897</v>
      </c>
      <c r="T6" s="21">
        <f t="shared" ref="T6:T29" si="0">S6*100/$S$31</f>
        <v>4.4511260442680944</v>
      </c>
      <c r="U6" s="22"/>
      <c r="V6" s="22"/>
      <c r="W6" s="22"/>
      <c r="X6" s="23"/>
      <c r="Y6" s="20">
        <f t="shared" ref="Y6:Y15" si="1">U6/100*$U$31+V6/100*$V$31+W6/100*$W$31+X6/100*$X$31+S6</f>
        <v>119897</v>
      </c>
      <c r="Z6" s="25">
        <f t="shared" ref="Z6:Z29" si="2">Y6*100/$Y$31</f>
        <v>0.97470317757121794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5</v>
      </c>
      <c r="G7" s="22"/>
      <c r="H7" s="22"/>
      <c r="I7" s="22"/>
      <c r="J7" s="22">
        <v>3</v>
      </c>
      <c r="K7" s="22"/>
      <c r="L7" s="22"/>
      <c r="M7" s="22"/>
      <c r="N7" s="22"/>
      <c r="O7" s="22"/>
      <c r="P7" s="22"/>
      <c r="Q7" s="22"/>
      <c r="R7" s="22"/>
      <c r="S7" s="20">
        <f t="shared" ref="S7:S29" si="3">C7/100*$C$31+D7/100*$D$31+E7/100*$E$31+F7/100*$F$31+G7/100*$G$31+H7/100*$H$31+I7/100*$I$31+J7/100*$J$31+K7/100*$K$31+L7/100*$L$31+M7/100*$M$31+N7/100*$N$31+O7/100*$O$31+P7/100*$P$31+Q7/100*$Q$31+R7/100*$R$31</f>
        <v>29461.02</v>
      </c>
      <c r="T7" s="21">
        <f t="shared" si="0"/>
        <v>1.0937280616921459</v>
      </c>
      <c r="U7" s="22">
        <v>1</v>
      </c>
      <c r="V7" s="22"/>
      <c r="W7" s="22"/>
      <c r="X7" s="23"/>
      <c r="Y7" s="20">
        <f>U7/100*$U$31+V7/100*$V$31+W7/100*$W$31+X7/100*$X$31+S7</f>
        <v>93065.77</v>
      </c>
      <c r="Z7" s="25">
        <f t="shared" si="2"/>
        <v>0.75657857779687665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3"/>
        <v>0</v>
      </c>
      <c r="T8" s="21">
        <f t="shared" si="0"/>
        <v>0</v>
      </c>
      <c r="U8" s="22"/>
      <c r="V8" s="22"/>
      <c r="W8" s="22"/>
      <c r="X8" s="23"/>
      <c r="Y8" s="20">
        <f t="shared" si="1"/>
        <v>0</v>
      </c>
      <c r="Z8" s="25">
        <f t="shared" si="2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3"/>
        <v>0</v>
      </c>
      <c r="T9" s="21">
        <f t="shared" si="0"/>
        <v>0</v>
      </c>
      <c r="U9" s="22"/>
      <c r="V9" s="22"/>
      <c r="W9" s="22"/>
      <c r="X9" s="23"/>
      <c r="Y9" s="20">
        <f t="shared" si="1"/>
        <v>0</v>
      </c>
      <c r="Z9" s="25">
        <f t="shared" si="2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3"/>
        <v>0</v>
      </c>
      <c r="T10" s="21">
        <f t="shared" si="0"/>
        <v>0</v>
      </c>
      <c r="U10" s="22"/>
      <c r="V10" s="22"/>
      <c r="W10" s="22"/>
      <c r="X10" s="23"/>
      <c r="Y10" s="20">
        <f t="shared" si="1"/>
        <v>0</v>
      </c>
      <c r="Z10" s="25">
        <f t="shared" si="2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3"/>
        <v>0</v>
      </c>
      <c r="T11" s="21">
        <f t="shared" si="0"/>
        <v>0</v>
      </c>
      <c r="U11" s="22"/>
      <c r="V11" s="22"/>
      <c r="W11" s="22"/>
      <c r="X11" s="23"/>
      <c r="Y11" s="20">
        <f t="shared" si="1"/>
        <v>0</v>
      </c>
      <c r="Z11" s="25">
        <f t="shared" si="2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3"/>
        <v>0</v>
      </c>
      <c r="T12" s="21">
        <f t="shared" si="0"/>
        <v>0</v>
      </c>
      <c r="U12" s="22"/>
      <c r="V12" s="22"/>
      <c r="W12" s="22"/>
      <c r="X12" s="23"/>
      <c r="Y12" s="20">
        <f t="shared" si="1"/>
        <v>0</v>
      </c>
      <c r="Z12" s="25">
        <f t="shared" si="2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3"/>
        <v>0</v>
      </c>
      <c r="T13" s="21">
        <f t="shared" si="0"/>
        <v>0</v>
      </c>
      <c r="U13" s="22"/>
      <c r="V13" s="22"/>
      <c r="W13" s="22"/>
      <c r="X13" s="23"/>
      <c r="Y13" s="20">
        <f t="shared" si="1"/>
        <v>0</v>
      </c>
      <c r="Z13" s="25">
        <f t="shared" si="2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3"/>
        <v>0</v>
      </c>
      <c r="T14" s="21">
        <f t="shared" si="0"/>
        <v>0</v>
      </c>
      <c r="U14" s="22"/>
      <c r="V14" s="22"/>
      <c r="W14" s="22"/>
      <c r="X14" s="23"/>
      <c r="Y14" s="20">
        <f t="shared" si="1"/>
        <v>0</v>
      </c>
      <c r="Z14" s="25">
        <f t="shared" si="2"/>
        <v>0</v>
      </c>
    </row>
    <row r="15" spans="1:29" x14ac:dyDescent="0.25">
      <c r="A15" s="31" t="s">
        <v>35</v>
      </c>
      <c r="B15" s="18" t="s">
        <v>25</v>
      </c>
      <c r="C15" s="32">
        <v>75</v>
      </c>
      <c r="D15" s="22"/>
      <c r="E15" s="22">
        <v>0</v>
      </c>
      <c r="F15" s="22">
        <v>0</v>
      </c>
      <c r="G15" s="22">
        <v>7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>C15/100*$C$31+D15/100*$D$31+E15/100*$E$31+F15/100*$F$31+G15/100*$G$31+H15/100*$H$31+I15/100*$I$31+J15/100*$J$31+K15/100*$K$31+L15/100*$L$31+M15/100*$M$31+N15/100*$N$31+O15/100*$O$31+P15/100*$P$31+Q15/100*$Q$31+R15/100*$R$31</f>
        <v>114140.54000000001</v>
      </c>
      <c r="T15" s="21">
        <f t="shared" si="0"/>
        <v>4.2374198712296742</v>
      </c>
      <c r="U15" s="22"/>
      <c r="V15" s="33"/>
      <c r="W15" s="22"/>
      <c r="X15" s="23"/>
      <c r="Y15" s="20">
        <f t="shared" si="1"/>
        <v>114140.54000000001</v>
      </c>
      <c r="Z15" s="25">
        <f t="shared" si="2"/>
        <v>0.92790601122375627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93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>C16/100*$C$31+D16/100*$D$31+E16/100*$E$31+F16/100*$F$31+G16/100*$G$31+H16/100*$H$31+I16/100*$I$31+J16/100*$J$31+K16/100*$K$31+L16/100*$L$31+M16/100*$M$31+N16/100*$N$31+O16/100*$O$31+P16/100*$P$31+Q16/100*$Q$31+R16/100*$R$31</f>
        <v>1560649.46</v>
      </c>
      <c r="T16" s="21">
        <f t="shared" si="0"/>
        <v>57.93845932240955</v>
      </c>
      <c r="U16" s="22"/>
      <c r="V16" s="33"/>
      <c r="W16" s="22"/>
      <c r="X16" s="23"/>
      <c r="Y16" s="20">
        <f>U16/100*$U$31+V16/100*$V$31+W16/100*$W$31+X16/100*$X$31+S16</f>
        <v>1560649.46</v>
      </c>
      <c r="Z16" s="25">
        <f t="shared" si="2"/>
        <v>12.687306502554737</v>
      </c>
    </row>
    <row r="17" spans="1:27" x14ac:dyDescent="0.25">
      <c r="A17" s="43" t="s">
        <v>37</v>
      </c>
      <c r="B17" s="30" t="s">
        <v>25</v>
      </c>
      <c r="C17" s="22">
        <v>20</v>
      </c>
      <c r="D17" s="22"/>
      <c r="E17" s="22"/>
      <c r="F17" s="22">
        <v>80</v>
      </c>
      <c r="G17" s="22"/>
      <c r="H17" s="22">
        <v>80</v>
      </c>
      <c r="I17" s="22"/>
      <c r="J17" s="22">
        <v>87</v>
      </c>
      <c r="K17" s="22"/>
      <c r="L17" s="22"/>
      <c r="M17" s="22"/>
      <c r="N17" s="22"/>
      <c r="O17" s="22"/>
      <c r="P17" s="22"/>
      <c r="Q17" s="22">
        <v>80</v>
      </c>
      <c r="R17" s="22"/>
      <c r="S17" s="20">
        <f t="shared" si="3"/>
        <v>869484.98</v>
      </c>
      <c r="T17" s="21">
        <f t="shared" si="0"/>
        <v>32.279266700400534</v>
      </c>
      <c r="U17" s="33">
        <v>3</v>
      </c>
      <c r="V17" s="22">
        <v>100</v>
      </c>
      <c r="W17" s="22"/>
      <c r="X17" s="23"/>
      <c r="Y17" s="20">
        <f t="shared" ref="Y17:Y29" si="4">U17/100*$U$31+V17/100*$V$31+W17/100*$W$31+X17/100*$X$31+S17</f>
        <v>4307064.2300000004</v>
      </c>
      <c r="Z17" s="25">
        <f t="shared" si="2"/>
        <v>35.014297196629869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3"/>
        <v>0</v>
      </c>
      <c r="T18" s="21">
        <f t="shared" si="0"/>
        <v>0</v>
      </c>
      <c r="U18" s="33"/>
      <c r="V18" s="22"/>
      <c r="W18" s="22"/>
      <c r="X18" s="23"/>
      <c r="Y18" s="20">
        <f t="shared" si="4"/>
        <v>0</v>
      </c>
      <c r="Z18" s="25">
        <f t="shared" si="2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3"/>
        <v>0</v>
      </c>
      <c r="T19" s="21">
        <f t="shared" si="0"/>
        <v>0</v>
      </c>
      <c r="U19" s="33">
        <v>50</v>
      </c>
      <c r="V19" s="22"/>
      <c r="W19" s="22"/>
      <c r="X19" s="23"/>
      <c r="Y19" s="20">
        <f t="shared" si="4"/>
        <v>3180237.5</v>
      </c>
      <c r="Z19" s="25">
        <f t="shared" si="2"/>
        <v>25.853754444908098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3"/>
        <v>0</v>
      </c>
      <c r="T20" s="21">
        <f t="shared" si="0"/>
        <v>0</v>
      </c>
      <c r="U20" s="33">
        <v>1</v>
      </c>
      <c r="V20" s="22"/>
      <c r="W20" s="22"/>
      <c r="X20" s="23"/>
      <c r="Y20" s="20">
        <f t="shared" si="4"/>
        <v>63604.75</v>
      </c>
      <c r="Z20" s="25">
        <f t="shared" si="2"/>
        <v>0.51707508889816189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3"/>
        <v>0</v>
      </c>
      <c r="T21" s="21">
        <f t="shared" si="0"/>
        <v>0</v>
      </c>
      <c r="U21" s="33">
        <v>5</v>
      </c>
      <c r="V21" s="22"/>
      <c r="W21" s="22"/>
      <c r="X21" s="23"/>
      <c r="Y21" s="20">
        <f t="shared" si="4"/>
        <v>318023.75</v>
      </c>
      <c r="Z21" s="25">
        <f t="shared" si="2"/>
        <v>2.5853754444908099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3"/>
        <v>0</v>
      </c>
      <c r="T22" s="21">
        <f t="shared" si="0"/>
        <v>0</v>
      </c>
      <c r="U22" s="33">
        <v>26</v>
      </c>
      <c r="V22" s="22"/>
      <c r="W22" s="22"/>
      <c r="X22" s="23"/>
      <c r="Y22" s="20">
        <f t="shared" si="4"/>
        <v>1653723.5</v>
      </c>
      <c r="Z22" s="25">
        <f t="shared" si="2"/>
        <v>13.443952311352211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3"/>
        <v>0</v>
      </c>
      <c r="T23" s="21">
        <f t="shared" si="0"/>
        <v>0</v>
      </c>
      <c r="U23" s="33">
        <v>9</v>
      </c>
      <c r="V23" s="22"/>
      <c r="W23" s="22"/>
      <c r="X23" s="23"/>
      <c r="Y23" s="20">
        <f t="shared" si="4"/>
        <v>572442.75</v>
      </c>
      <c r="Z23" s="25">
        <f t="shared" si="2"/>
        <v>4.653675800083457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3"/>
        <v>0</v>
      </c>
      <c r="T24" s="21">
        <f t="shared" si="0"/>
        <v>0</v>
      </c>
      <c r="U24" s="22"/>
      <c r="V24" s="22"/>
      <c r="W24" s="22"/>
      <c r="X24" s="23"/>
      <c r="Y24" s="20">
        <f t="shared" si="4"/>
        <v>0</v>
      </c>
      <c r="Z24" s="25">
        <f t="shared" si="2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3"/>
        <v>0</v>
      </c>
      <c r="T25" s="21">
        <f t="shared" si="0"/>
        <v>0</v>
      </c>
      <c r="U25" s="33"/>
      <c r="V25" s="22"/>
      <c r="W25" s="22"/>
      <c r="X25" s="23"/>
      <c r="Y25" s="20">
        <f t="shared" si="4"/>
        <v>0</v>
      </c>
      <c r="Z25" s="25">
        <f t="shared" si="2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3"/>
        <v>0</v>
      </c>
      <c r="T26" s="21">
        <f t="shared" si="0"/>
        <v>0</v>
      </c>
      <c r="U26" s="22"/>
      <c r="V26" s="22"/>
      <c r="W26" s="22"/>
      <c r="X26" s="23"/>
      <c r="Y26" s="20">
        <f t="shared" si="4"/>
        <v>0</v>
      </c>
      <c r="Z26" s="25">
        <f t="shared" si="2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3"/>
        <v>0</v>
      </c>
      <c r="T27" s="21">
        <f t="shared" si="0"/>
        <v>0</v>
      </c>
      <c r="U27" s="33">
        <v>2</v>
      </c>
      <c r="V27" s="22"/>
      <c r="W27" s="22"/>
      <c r="X27" s="23"/>
      <c r="Y27" s="20">
        <f t="shared" si="4"/>
        <v>127209.5</v>
      </c>
      <c r="Z27" s="25">
        <f t="shared" si="2"/>
        <v>1.0341501777963238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3"/>
        <v>0</v>
      </c>
      <c r="T28" s="21">
        <f t="shared" si="0"/>
        <v>0</v>
      </c>
      <c r="U28" s="33">
        <v>3</v>
      </c>
      <c r="V28" s="22"/>
      <c r="W28" s="22"/>
      <c r="X28" s="23"/>
      <c r="Y28" s="20">
        <f t="shared" si="4"/>
        <v>190814.25</v>
      </c>
      <c r="Z28" s="25">
        <f t="shared" si="2"/>
        <v>1.5512252666944859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20">
        <f t="shared" si="3"/>
        <v>0</v>
      </c>
      <c r="T29" s="40">
        <f t="shared" si="0"/>
        <v>0</v>
      </c>
      <c r="U29" s="38"/>
      <c r="V29" s="38"/>
      <c r="W29" s="38"/>
      <c r="X29" s="41"/>
      <c r="Y29" s="39">
        <f t="shared" si="4"/>
        <v>0</v>
      </c>
      <c r="Z29" s="42">
        <f t="shared" si="2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27">
        <f>+SUM(S6:S29)</f>
        <v>2693633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12300873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24664</v>
      </c>
      <c r="D31" s="47">
        <v>0</v>
      </c>
      <c r="E31" s="47">
        <v>289970</v>
      </c>
      <c r="F31" s="47">
        <v>122844</v>
      </c>
      <c r="G31" s="47">
        <v>1366322</v>
      </c>
      <c r="H31" s="47">
        <v>719</v>
      </c>
      <c r="I31" s="47">
        <v>0</v>
      </c>
      <c r="J31" s="47">
        <v>777294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111820</v>
      </c>
      <c r="R31" s="47">
        <v>0</v>
      </c>
      <c r="S31" s="48">
        <f>SUM(C31:R31)</f>
        <v>2693633</v>
      </c>
      <c r="T31" s="48">
        <f>S31*100/$S$31</f>
        <v>100</v>
      </c>
      <c r="U31" s="47">
        <v>6360475</v>
      </c>
      <c r="V31" s="47">
        <v>3246765</v>
      </c>
      <c r="W31" s="47">
        <v>0</v>
      </c>
      <c r="X31" s="141">
        <v>0</v>
      </c>
      <c r="Y31" s="48">
        <f>+S31+U31+V31+W31+X31</f>
        <v>12300873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4" x14ac:dyDescent="0.25">
      <c r="A33" s="55"/>
      <c r="S33" s="1"/>
    </row>
    <row r="34" spans="1:24" x14ac:dyDescent="0.25">
      <c r="A34" s="56" t="s">
        <v>53</v>
      </c>
      <c r="B34" s="57"/>
      <c r="C34" s="57"/>
      <c r="D34" s="57"/>
      <c r="E34" s="57"/>
      <c r="F34" s="58"/>
      <c r="G34" s="10"/>
    </row>
    <row r="35" spans="1:24" x14ac:dyDescent="0.25">
      <c r="A35" s="59" t="s">
        <v>54</v>
      </c>
      <c r="B35" s="22"/>
      <c r="C35" s="22"/>
      <c r="D35" s="22"/>
      <c r="E35" s="22"/>
      <c r="F35" s="23"/>
      <c r="G35" s="10"/>
      <c r="I35" s="81"/>
    </row>
    <row r="36" spans="1:24" x14ac:dyDescent="0.25">
      <c r="A36" s="59" t="s">
        <v>56</v>
      </c>
      <c r="B36" s="22"/>
      <c r="C36" s="22"/>
      <c r="D36" s="22"/>
      <c r="E36" s="22"/>
      <c r="F36" s="23"/>
      <c r="G36" s="10"/>
    </row>
    <row r="37" spans="1:24" x14ac:dyDescent="0.25">
      <c r="A37" s="11" t="s">
        <v>57</v>
      </c>
      <c r="B37" s="38"/>
      <c r="C37" s="38"/>
      <c r="D37" s="38"/>
      <c r="E37" s="38"/>
      <c r="F37" s="41"/>
      <c r="G37" s="10"/>
      <c r="X37" s="99"/>
    </row>
    <row r="38" spans="1:24" x14ac:dyDescent="0.25">
      <c r="A38" t="s">
        <v>58</v>
      </c>
    </row>
    <row r="39" spans="1:24" ht="18.75" x14ac:dyDescent="0.3">
      <c r="A39" s="60"/>
      <c r="B39" s="61"/>
    </row>
    <row r="40" spans="1:24" ht="18.75" x14ac:dyDescent="0.3">
      <c r="A40" s="60"/>
      <c r="B40" s="61"/>
      <c r="X40" s="99"/>
    </row>
    <row r="41" spans="1:24" ht="18.75" x14ac:dyDescent="0.3">
      <c r="B41" s="61"/>
    </row>
    <row r="42" spans="1:24" x14ac:dyDescent="0.25">
      <c r="A42" s="10" t="s">
        <v>96</v>
      </c>
      <c r="C42" s="62" t="s">
        <v>97</v>
      </c>
      <c r="D42" s="62"/>
      <c r="E42" s="62"/>
    </row>
    <row r="43" spans="1:24" x14ac:dyDescent="0.25">
      <c r="A43" s="62" t="s">
        <v>207</v>
      </c>
      <c r="B43" s="62"/>
      <c r="C43" s="63">
        <v>12300872</v>
      </c>
      <c r="F43" s="64"/>
      <c r="G43" s="64"/>
    </row>
    <row r="44" spans="1:24" ht="18.75" x14ac:dyDescent="0.3">
      <c r="A44" s="60"/>
      <c r="B44" s="61"/>
    </row>
    <row r="45" spans="1:24" ht="18.75" x14ac:dyDescent="0.3">
      <c r="A45" s="60"/>
      <c r="B45" s="61"/>
    </row>
    <row r="46" spans="1:24" ht="18.75" x14ac:dyDescent="0.3">
      <c r="A46" s="142"/>
      <c r="B46" s="65"/>
    </row>
    <row r="47" spans="1:24" ht="18.75" x14ac:dyDescent="0.3">
      <c r="A47" s="60"/>
      <c r="B47" s="65"/>
    </row>
  </sheetData>
  <mergeCells count="3">
    <mergeCell ref="A1:Z2"/>
    <mergeCell ref="S4:T4"/>
    <mergeCell ref="Y4:Z4"/>
  </mergeCells>
  <pageMargins left="0.32" right="0.21" top="0.74803149606299213" bottom="0.74803149606299213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48"/>
  <sheetViews>
    <sheetView zoomScale="90" zoomScaleNormal="90" workbookViewId="0">
      <selection activeCell="A3" sqref="A3"/>
    </sheetView>
  </sheetViews>
  <sheetFormatPr defaultRowHeight="15" x14ac:dyDescent="0.25"/>
  <cols>
    <col min="1" max="1" width="33.7109375" customWidth="1"/>
    <col min="2" max="2" width="6.85546875" customWidth="1"/>
    <col min="3" max="3" width="7.5703125" customWidth="1"/>
    <col min="4" max="4" width="12.5703125" customWidth="1"/>
    <col min="5" max="5" width="13.28515625" customWidth="1"/>
    <col min="6" max="6" width="9.85546875" customWidth="1"/>
    <col min="7" max="7" width="9.140625" customWidth="1"/>
    <col min="8" max="8" width="8.28515625" bestFit="1" customWidth="1"/>
    <col min="9" max="9" width="11.5703125" customWidth="1"/>
    <col min="10" max="10" width="9" bestFit="1" customWidth="1"/>
    <col min="11" max="11" width="6.28515625" customWidth="1"/>
    <col min="12" max="12" width="6.42578125" customWidth="1"/>
    <col min="13" max="13" width="6.5703125" customWidth="1"/>
    <col min="14" max="14" width="7.85546875" bestFit="1" customWidth="1"/>
    <col min="15" max="15" width="9" customWidth="1"/>
    <col min="16" max="16" width="7" customWidth="1"/>
    <col min="17" max="17" width="8.140625" bestFit="1" customWidth="1"/>
    <col min="18" max="18" width="6.42578125" bestFit="1" customWidth="1"/>
    <col min="19" max="19" width="10.140625" customWidth="1"/>
    <col min="20" max="20" width="7.28515625" customWidth="1"/>
    <col min="21" max="21" width="10.140625" customWidth="1"/>
    <col min="22" max="22" width="11.42578125" customWidth="1"/>
    <col min="23" max="23" width="9.28515625" bestFit="1" customWidth="1"/>
    <col min="24" max="24" width="13.7109375" customWidth="1"/>
    <col min="25" max="25" width="9.5703125" customWidth="1"/>
    <col min="26" max="26" width="6.85546875" customWidth="1"/>
    <col min="27" max="27" width="1.85546875" customWidth="1"/>
  </cols>
  <sheetData>
    <row r="1" spans="1:29" ht="15" customHeight="1" x14ac:dyDescent="0.25">
      <c r="A1" s="325" t="s">
        <v>250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56" t="s">
        <v>1</v>
      </c>
      <c r="C4" s="256" t="s">
        <v>2</v>
      </c>
      <c r="D4" s="5" t="s">
        <v>3</v>
      </c>
      <c r="E4" s="5" t="s">
        <v>79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57" t="s">
        <v>15</v>
      </c>
      <c r="Q4" s="257" t="s">
        <v>16</v>
      </c>
      <c r="R4" s="257" t="s">
        <v>17</v>
      </c>
      <c r="S4" s="327" t="s">
        <v>18</v>
      </c>
      <c r="T4" s="328"/>
      <c r="U4" s="256" t="s">
        <v>19</v>
      </c>
      <c r="V4" s="257" t="s">
        <v>20</v>
      </c>
      <c r="W4" s="267" t="s">
        <v>21</v>
      </c>
      <c r="X4" s="267" t="s">
        <v>22</v>
      </c>
      <c r="Y4" s="329" t="s">
        <v>23</v>
      </c>
      <c r="Z4" s="330"/>
      <c r="AA4" s="253"/>
      <c r="AB4" s="253"/>
      <c r="AC4" s="253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54" t="s">
        <v>25</v>
      </c>
      <c r="U5" s="254" t="s">
        <v>25</v>
      </c>
      <c r="V5" s="254" t="s">
        <v>25</v>
      </c>
      <c r="W5" s="254" t="s">
        <v>25</v>
      </c>
      <c r="X5" s="254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3926.12</v>
      </c>
      <c r="T6" s="21">
        <f t="shared" ref="T6:T17" si="0">S6*100/$S$31</f>
        <v>0.41632150999416784</v>
      </c>
      <c r="U6" s="22"/>
      <c r="V6" s="22"/>
      <c r="W6" s="22"/>
      <c r="X6" s="23"/>
      <c r="Y6" s="20">
        <f>U6/100*$U$31+V6/100*$V$31+X6/100*$X$31+W6/100*$W$31+S6</f>
        <v>3926.12</v>
      </c>
      <c r="Z6" s="25">
        <f t="shared" ref="Z6:Z27" si="1">Y6*100/$Y$31</f>
        <v>0.39311912366953372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2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si="0"/>
        <v>0</v>
      </c>
      <c r="U7" s="22"/>
      <c r="V7" s="22"/>
      <c r="W7" s="22"/>
      <c r="X7" s="23"/>
      <c r="Y7" s="20">
        <f t="shared" ref="Y7:Y29" si="3">U7/100*$U$31+V7/100*$V$31+X7/100*$X$31+W7/100*$W$31+S7</f>
        <v>0</v>
      </c>
      <c r="Z7" s="25">
        <f t="shared" si="1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2"/>
        <v>0</v>
      </c>
      <c r="T8" s="21">
        <f t="shared" si="0"/>
        <v>0</v>
      </c>
      <c r="U8" s="22"/>
      <c r="V8" s="22"/>
      <c r="W8" s="22"/>
      <c r="X8" s="23"/>
      <c r="Y8" s="20">
        <f t="shared" si="3"/>
        <v>0</v>
      </c>
      <c r="Z8" s="25">
        <f t="shared" si="1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2"/>
        <v>0</v>
      </c>
      <c r="T9" s="21">
        <f t="shared" si="0"/>
        <v>0</v>
      </c>
      <c r="U9" s="22"/>
      <c r="V9" s="22"/>
      <c r="W9" s="22"/>
      <c r="X9" s="23"/>
      <c r="Y9" s="20">
        <f t="shared" si="3"/>
        <v>0</v>
      </c>
      <c r="Z9" s="25">
        <f t="shared" si="1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2"/>
        <v>0</v>
      </c>
      <c r="T10" s="21">
        <f t="shared" si="0"/>
        <v>0</v>
      </c>
      <c r="U10" s="22"/>
      <c r="V10" s="22"/>
      <c r="W10" s="22"/>
      <c r="X10" s="23"/>
      <c r="Y10" s="20">
        <f t="shared" si="3"/>
        <v>0</v>
      </c>
      <c r="Z10" s="25">
        <f t="shared" si="1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2"/>
        <v>0</v>
      </c>
      <c r="T11" s="21">
        <f t="shared" si="0"/>
        <v>0</v>
      </c>
      <c r="U11" s="22"/>
      <c r="V11" s="22"/>
      <c r="W11" s="22"/>
      <c r="X11" s="23"/>
      <c r="Y11" s="20">
        <f t="shared" si="3"/>
        <v>0</v>
      </c>
      <c r="Z11" s="25">
        <f t="shared" si="1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2"/>
        <v>0</v>
      </c>
      <c r="T12" s="21">
        <f t="shared" si="0"/>
        <v>0</v>
      </c>
      <c r="U12" s="22"/>
      <c r="V12" s="22"/>
      <c r="W12" s="22"/>
      <c r="X12" s="23"/>
      <c r="Y12" s="20">
        <f t="shared" si="3"/>
        <v>0</v>
      </c>
      <c r="Z12" s="25">
        <f t="shared" si="1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2"/>
        <v>0</v>
      </c>
      <c r="T13" s="21">
        <f t="shared" si="0"/>
        <v>0</v>
      </c>
      <c r="U13" s="22"/>
      <c r="V13" s="22"/>
      <c r="W13" s="22"/>
      <c r="X13" s="23"/>
      <c r="Y13" s="20">
        <f t="shared" si="3"/>
        <v>0</v>
      </c>
      <c r="Z13" s="25">
        <f t="shared" si="1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2"/>
        <v>0</v>
      </c>
      <c r="T14" s="21">
        <f t="shared" si="0"/>
        <v>0</v>
      </c>
      <c r="U14" s="22"/>
      <c r="V14" s="22"/>
      <c r="W14" s="22"/>
      <c r="X14" s="23"/>
      <c r="Y14" s="20">
        <f t="shared" si="3"/>
        <v>0</v>
      </c>
      <c r="Z14" s="25">
        <f t="shared" si="1"/>
        <v>0</v>
      </c>
    </row>
    <row r="15" spans="1:29" x14ac:dyDescent="0.25">
      <c r="A15" s="31" t="s">
        <v>35</v>
      </c>
      <c r="B15" s="18" t="s">
        <v>25</v>
      </c>
      <c r="C15" s="22"/>
      <c r="D15" s="22"/>
      <c r="E15" s="22">
        <v>100</v>
      </c>
      <c r="F15" s="22">
        <v>90</v>
      </c>
      <c r="G15" s="22">
        <v>100</v>
      </c>
      <c r="H15" s="22"/>
      <c r="I15" s="22"/>
      <c r="J15" s="22"/>
      <c r="K15" s="22"/>
      <c r="L15" s="22"/>
      <c r="M15" s="22"/>
      <c r="N15" s="22"/>
      <c r="O15" s="22"/>
      <c r="P15" s="22"/>
      <c r="Q15" s="22">
        <v>100</v>
      </c>
      <c r="R15" s="22"/>
      <c r="S15" s="20">
        <f t="shared" si="2"/>
        <v>903788.8</v>
      </c>
      <c r="T15" s="21">
        <f t="shared" si="0"/>
        <v>95.836784900058319</v>
      </c>
      <c r="U15" s="22"/>
      <c r="V15" s="33"/>
      <c r="W15" s="33"/>
      <c r="X15" s="23"/>
      <c r="Y15" s="20">
        <f t="shared" si="3"/>
        <v>903788.8</v>
      </c>
      <c r="Z15" s="25">
        <f t="shared" si="1"/>
        <v>90.495619348960162</v>
      </c>
    </row>
    <row r="16" spans="1:29" x14ac:dyDescent="0.25">
      <c r="A16" s="29" t="s">
        <v>36</v>
      </c>
      <c r="B16" s="30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2"/>
        <v>0</v>
      </c>
      <c r="T16" s="21">
        <f t="shared" si="0"/>
        <v>0</v>
      </c>
      <c r="U16" s="22"/>
      <c r="V16" s="33"/>
      <c r="W16" s="33"/>
      <c r="X16" s="23"/>
      <c r="Y16" s="20">
        <f>U16/100*$U$31+V16/100*$V$31+X16/100*$X$31+W16/100*$W$31+S16</f>
        <v>0</v>
      </c>
      <c r="Z16" s="25">
        <f>Y16*100/$Y$31</f>
        <v>0</v>
      </c>
    </row>
    <row r="17" spans="1:27" x14ac:dyDescent="0.25">
      <c r="A17" s="43" t="s">
        <v>37</v>
      </c>
      <c r="B17" s="30" t="s">
        <v>25</v>
      </c>
      <c r="C17" s="22"/>
      <c r="D17" s="22"/>
      <c r="E17" s="22"/>
      <c r="F17" s="22">
        <v>9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0">
        <f t="shared" si="2"/>
        <v>35335.08</v>
      </c>
      <c r="T17" s="21">
        <f t="shared" si="0"/>
        <v>3.7468935899475109</v>
      </c>
      <c r="U17" s="33"/>
      <c r="V17" s="22"/>
      <c r="W17" s="22"/>
      <c r="X17" s="23"/>
      <c r="Y17" s="20">
        <f t="shared" si="3"/>
        <v>35335.08</v>
      </c>
      <c r="Z17" s="25">
        <f t="shared" si="1"/>
        <v>3.5380721130258035</v>
      </c>
    </row>
    <row r="18" spans="1:27" x14ac:dyDescent="0.25">
      <c r="A18" s="35" t="s">
        <v>38</v>
      </c>
      <c r="B18" s="258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2"/>
        <v>0</v>
      </c>
      <c r="T18" s="21">
        <f>S18*100/$S$31</f>
        <v>0</v>
      </c>
      <c r="U18" s="33"/>
      <c r="V18" s="22"/>
      <c r="W18" s="22"/>
      <c r="X18" s="23"/>
      <c r="Y18" s="20">
        <f t="shared" si="3"/>
        <v>0</v>
      </c>
      <c r="Z18" s="25">
        <f t="shared" si="1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2"/>
        <v>0</v>
      </c>
      <c r="T19" s="21">
        <f t="shared" ref="T19:T29" si="4">S19*100/$S$31</f>
        <v>0</v>
      </c>
      <c r="U19" s="290">
        <v>5</v>
      </c>
      <c r="V19" s="291"/>
      <c r="W19" s="291"/>
      <c r="X19" s="292"/>
      <c r="Y19" s="20">
        <f t="shared" si="3"/>
        <v>2783</v>
      </c>
      <c r="Z19" s="25">
        <f t="shared" si="1"/>
        <v>0.27865947071722524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2"/>
        <v>0</v>
      </c>
      <c r="T20" s="21">
        <f t="shared" si="4"/>
        <v>0</v>
      </c>
      <c r="U20" s="290"/>
      <c r="V20" s="291"/>
      <c r="W20" s="291"/>
      <c r="X20" s="292"/>
      <c r="Y20" s="20">
        <f t="shared" si="3"/>
        <v>0</v>
      </c>
      <c r="Z20" s="25">
        <f t="shared" si="1"/>
        <v>0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2"/>
        <v>0</v>
      </c>
      <c r="T21" s="21">
        <f t="shared" si="4"/>
        <v>0</v>
      </c>
      <c r="U21" s="290"/>
      <c r="V21" s="291"/>
      <c r="W21" s="291"/>
      <c r="X21" s="292"/>
      <c r="Y21" s="20">
        <f t="shared" si="3"/>
        <v>0</v>
      </c>
      <c r="Z21" s="25">
        <f t="shared" si="1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2"/>
        <v>0</v>
      </c>
      <c r="T22" s="21">
        <f t="shared" si="4"/>
        <v>0</v>
      </c>
      <c r="U22" s="290">
        <v>50</v>
      </c>
      <c r="V22" s="291"/>
      <c r="W22" s="291"/>
      <c r="X22" s="292"/>
      <c r="Y22" s="20">
        <f t="shared" si="3"/>
        <v>27830</v>
      </c>
      <c r="Z22" s="25">
        <f t="shared" si="1"/>
        <v>2.7865947071722523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2"/>
        <v>0</v>
      </c>
      <c r="T23" s="21">
        <f t="shared" si="4"/>
        <v>0</v>
      </c>
      <c r="U23" s="290"/>
      <c r="V23" s="291"/>
      <c r="W23" s="291"/>
      <c r="X23" s="292"/>
      <c r="Y23" s="20">
        <f>U23/100*$U$31+V23/100*$V$31+X23/100*$X$31+W23/100*$W$31+S23</f>
        <v>0</v>
      </c>
      <c r="Z23" s="25">
        <f t="shared" si="1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2"/>
        <v>0</v>
      </c>
      <c r="T24" s="21">
        <f t="shared" si="4"/>
        <v>0</v>
      </c>
      <c r="U24" s="291">
        <v>20</v>
      </c>
      <c r="V24" s="291"/>
      <c r="W24" s="291"/>
      <c r="X24" s="292"/>
      <c r="Y24" s="20">
        <f t="shared" si="3"/>
        <v>11132</v>
      </c>
      <c r="Z24" s="25">
        <f t="shared" si="1"/>
        <v>1.114637882868901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2"/>
        <v>0</v>
      </c>
      <c r="T25" s="21">
        <f t="shared" si="4"/>
        <v>0</v>
      </c>
      <c r="U25" s="290">
        <v>5</v>
      </c>
      <c r="V25" s="291"/>
      <c r="W25" s="291"/>
      <c r="X25" s="292"/>
      <c r="Y25" s="20">
        <f>U25/100*$U$31+V25/100*$V$31+X25/100*$X$31+W25/100*$W$31+S25</f>
        <v>2783</v>
      </c>
      <c r="Z25" s="25">
        <f t="shared" si="1"/>
        <v>0.27865947071722524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2"/>
        <v>0</v>
      </c>
      <c r="T26" s="21">
        <f t="shared" si="4"/>
        <v>0</v>
      </c>
      <c r="U26" s="291"/>
      <c r="V26" s="291"/>
      <c r="W26" s="291"/>
      <c r="X26" s="292"/>
      <c r="Y26" s="20">
        <f t="shared" si="3"/>
        <v>0</v>
      </c>
      <c r="Z26" s="25">
        <f t="shared" si="1"/>
        <v>0</v>
      </c>
    </row>
    <row r="27" spans="1:27" x14ac:dyDescent="0.25">
      <c r="A27" s="3" t="s">
        <v>251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2"/>
        <v>0</v>
      </c>
      <c r="T27" s="21">
        <f t="shared" si="4"/>
        <v>0</v>
      </c>
      <c r="U27" s="290">
        <v>15</v>
      </c>
      <c r="V27" s="291"/>
      <c r="W27" s="291"/>
      <c r="X27" s="292"/>
      <c r="Y27" s="20">
        <f t="shared" si="3"/>
        <v>8349</v>
      </c>
      <c r="Z27" s="25">
        <f t="shared" si="1"/>
        <v>0.83597841215167568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2"/>
        <v>0</v>
      </c>
      <c r="T28" s="21">
        <f t="shared" si="4"/>
        <v>0</v>
      </c>
      <c r="U28" s="290"/>
      <c r="V28" s="291"/>
      <c r="W28" s="291"/>
      <c r="X28" s="292"/>
      <c r="Y28" s="20">
        <f t="shared" si="3"/>
        <v>0</v>
      </c>
      <c r="Z28" s="25">
        <f>Y28*100/$Y$31</f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2"/>
        <v>0</v>
      </c>
      <c r="T29" s="40">
        <f t="shared" si="4"/>
        <v>0</v>
      </c>
      <c r="U29" s="293">
        <v>5</v>
      </c>
      <c r="V29" s="293"/>
      <c r="W29" s="293"/>
      <c r="X29" s="294"/>
      <c r="Y29" s="39">
        <f t="shared" si="3"/>
        <v>2783</v>
      </c>
      <c r="Z29" s="42">
        <f>Y29*100/$Y$31</f>
        <v>0.27865947071722524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0</v>
      </c>
      <c r="I30" s="44">
        <f t="shared" si="5"/>
        <v>0</v>
      </c>
      <c r="J30" s="44">
        <f t="shared" si="5"/>
        <v>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943050</v>
      </c>
      <c r="T30" s="20">
        <f>+SUM(T6:T29)</f>
        <v>99.999999999999986</v>
      </c>
      <c r="U30" s="295">
        <f>SUM(U6:U29)</f>
        <v>100</v>
      </c>
      <c r="V30" s="295">
        <f t="shared" ref="V30:W30" si="6">SUM(V6:V29)</f>
        <v>0</v>
      </c>
      <c r="W30" s="295">
        <f t="shared" si="6"/>
        <v>0</v>
      </c>
      <c r="X30" s="295">
        <f>SUM(X6:X29)</f>
        <v>0</v>
      </c>
      <c r="Y30" s="39">
        <f>SUM(Y6:Y29)</f>
        <v>998710</v>
      </c>
      <c r="Z30" s="42">
        <f>SUM(Z6:Z29)</f>
        <v>100.00000000000003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38519</v>
      </c>
      <c r="F31" s="47">
        <v>392612</v>
      </c>
      <c r="G31" s="47">
        <v>475091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36828</v>
      </c>
      <c r="R31" s="47">
        <v>0</v>
      </c>
      <c r="S31" s="48">
        <f>SUM(C31:R31)</f>
        <v>943050</v>
      </c>
      <c r="T31" s="48">
        <f>S31*100/$S$31</f>
        <v>100</v>
      </c>
      <c r="U31" s="296">
        <v>55660</v>
      </c>
      <c r="V31" s="296">
        <v>0</v>
      </c>
      <c r="W31" s="296">
        <v>0</v>
      </c>
      <c r="X31" s="296">
        <v>0</v>
      </c>
      <c r="Y31" s="48">
        <f>+S31+U31+V31+W31+X31</f>
        <v>998710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293"/>
      <c r="V32" s="293"/>
      <c r="W32" s="293"/>
      <c r="X32" s="294"/>
      <c r="Y32" s="39">
        <f>SUM(C32:X32)</f>
        <v>0</v>
      </c>
      <c r="Z32" s="54">
        <f>Y32*100/$Y$31</f>
        <v>0</v>
      </c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  <c r="G39" s="10"/>
    </row>
    <row r="40" spans="1:25" ht="18.75" x14ac:dyDescent="0.3">
      <c r="A40" s="60"/>
      <c r="B40" s="61"/>
      <c r="G40" s="10"/>
    </row>
    <row r="41" spans="1:25" ht="18.75" x14ac:dyDescent="0.3">
      <c r="B41" s="61"/>
      <c r="C41">
        <v>0</v>
      </c>
      <c r="D41">
        <v>0</v>
      </c>
      <c r="E41">
        <v>38519</v>
      </c>
      <c r="F41">
        <v>392612</v>
      </c>
      <c r="G41">
        <v>475091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36828</v>
      </c>
      <c r="R41">
        <v>0</v>
      </c>
      <c r="U41">
        <v>55660</v>
      </c>
      <c r="V41">
        <v>0</v>
      </c>
      <c r="W41">
        <v>0</v>
      </c>
      <c r="X41">
        <v>0</v>
      </c>
      <c r="Y41">
        <f>SUM(C41:X41)</f>
        <v>998710</v>
      </c>
    </row>
    <row r="42" spans="1:25" x14ac:dyDescent="0.25">
      <c r="A42" s="10"/>
      <c r="C42" s="62"/>
      <c r="D42" s="62"/>
      <c r="E42" s="62"/>
    </row>
    <row r="43" spans="1:25" x14ac:dyDescent="0.25">
      <c r="A43" s="62"/>
      <c r="C43" s="63"/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</row>
    <row r="46" spans="1:25" ht="18.75" x14ac:dyDescent="0.3">
      <c r="A46" s="60"/>
      <c r="B46" s="297"/>
    </row>
    <row r="47" spans="1:25" ht="18.75" x14ac:dyDescent="0.3">
      <c r="B47" s="61"/>
    </row>
    <row r="48" spans="1:25" x14ac:dyDescent="0.25">
      <c r="A48" s="10"/>
    </row>
  </sheetData>
  <mergeCells count="3">
    <mergeCell ref="A1:Z2"/>
    <mergeCell ref="S4:T4"/>
    <mergeCell ref="Y4:Z4"/>
  </mergeCells>
  <pageMargins left="0.3" right="0.2" top="0.74803149606299213" bottom="0.74803149606299213" header="0.31496062992125984" footer="0.31496062992125984"/>
  <pageSetup paperSize="9" scale="5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3.42578125" customWidth="1"/>
    <col min="2" max="2" width="7.28515625" customWidth="1"/>
    <col min="3" max="3" width="8.42578125" customWidth="1"/>
    <col min="4" max="5" width="13.140625" customWidth="1"/>
    <col min="6" max="6" width="9" customWidth="1"/>
    <col min="7" max="7" width="8" bestFit="1" customWidth="1"/>
    <col min="8" max="8" width="9.140625" bestFit="1" customWidth="1"/>
    <col min="9" max="9" width="11.28515625" customWidth="1"/>
    <col min="10" max="10" width="9.7109375" bestFit="1" customWidth="1"/>
    <col min="11" max="11" width="7" customWidth="1"/>
    <col min="12" max="12" width="6.42578125" customWidth="1"/>
    <col min="13" max="13" width="6.28515625" bestFit="1" customWidth="1"/>
    <col min="14" max="14" width="7.85546875" bestFit="1" customWidth="1"/>
    <col min="15" max="15" width="8.85546875" customWidth="1"/>
    <col min="16" max="16" width="7" bestFit="1" customWidth="1"/>
    <col min="17" max="17" width="8.140625" bestFit="1" customWidth="1"/>
    <col min="18" max="18" width="7" bestFit="1" customWidth="1"/>
    <col min="19" max="19" width="10.85546875" customWidth="1"/>
    <col min="20" max="20" width="6.140625" customWidth="1"/>
    <col min="21" max="21" width="9.7109375" customWidth="1"/>
    <col min="22" max="22" width="11.140625" bestFit="1" customWidth="1"/>
    <col min="23" max="23" width="9.28515625" bestFit="1" customWidth="1"/>
    <col min="24" max="24" width="14" bestFit="1" customWidth="1"/>
    <col min="25" max="25" width="10" customWidth="1"/>
    <col min="26" max="26" width="6.140625" customWidth="1"/>
    <col min="27" max="27" width="1.85546875" customWidth="1"/>
  </cols>
  <sheetData>
    <row r="1" spans="1:29" ht="15" customHeight="1" x14ac:dyDescent="0.25">
      <c r="A1" s="325" t="s">
        <v>222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4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6" t="s">
        <v>15</v>
      </c>
      <c r="Q4" s="246" t="s">
        <v>16</v>
      </c>
      <c r="R4" s="247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7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/>
      <c r="I6" s="19"/>
      <c r="J6" s="19">
        <v>8</v>
      </c>
      <c r="K6" s="19"/>
      <c r="L6" s="19"/>
      <c r="M6" s="19"/>
      <c r="N6" s="19"/>
      <c r="O6" s="19"/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11537.68</v>
      </c>
      <c r="T6" s="140">
        <f>S6*100/$S$31</f>
        <v>4.4874489518105092</v>
      </c>
      <c r="U6" s="22"/>
      <c r="V6" s="22"/>
      <c r="W6" s="22"/>
      <c r="X6" s="23"/>
      <c r="Y6" s="20">
        <f>U6/100*$U$31+V6/100*$V$31+W6/100*$W$31+X6/100*$X$31+S6</f>
        <v>11537.68</v>
      </c>
      <c r="Z6" s="25">
        <f t="shared" ref="Z6:Z28" si="0">Y6*100/$Y$31</f>
        <v>0.63263530233601228</v>
      </c>
    </row>
    <row r="7" spans="1:29" x14ac:dyDescent="0.25">
      <c r="A7" s="26" t="s">
        <v>27</v>
      </c>
      <c r="B7" s="18" t="s">
        <v>25</v>
      </c>
      <c r="C7" s="22">
        <v>100</v>
      </c>
      <c r="D7" s="22"/>
      <c r="E7" s="22"/>
      <c r="F7" s="22"/>
      <c r="G7" s="22"/>
      <c r="H7" s="22"/>
      <c r="I7" s="22"/>
      <c r="J7" s="22">
        <v>20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28845.200000000001</v>
      </c>
      <c r="T7" s="21">
        <f t="shared" ref="T7:T29" si="2">S7*100/$S$31</f>
        <v>11.219011318112869</v>
      </c>
      <c r="U7" s="22">
        <v>12</v>
      </c>
      <c r="V7" s="22"/>
      <c r="W7" s="22"/>
      <c r="X7" s="23"/>
      <c r="Y7" s="20">
        <f t="shared" ref="Y7:Y29" si="3">U7/100*$U$31+V7/100*$V$31+W7/100*$W$31+X7/100*$X$31+S7</f>
        <v>141645.68</v>
      </c>
      <c r="Z7" s="25">
        <f t="shared" si="0"/>
        <v>7.7667310578374549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2"/>
      <c r="V15" s="33"/>
      <c r="W15" s="22"/>
      <c r="X15" s="23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105912</v>
      </c>
      <c r="T16" s="21">
        <f t="shared" si="2"/>
        <v>41.193263583680135</v>
      </c>
      <c r="U16" s="22"/>
      <c r="V16" s="33"/>
      <c r="W16" s="22"/>
      <c r="X16" s="23"/>
      <c r="Y16" s="20">
        <f t="shared" si="3"/>
        <v>105912</v>
      </c>
      <c r="Z16" s="25">
        <f t="shared" si="0"/>
        <v>5.8073780986308972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/>
      <c r="I17" s="22"/>
      <c r="J17" s="22">
        <v>72</v>
      </c>
      <c r="K17" s="22"/>
      <c r="L17" s="22"/>
      <c r="M17" s="22"/>
      <c r="N17" s="22"/>
      <c r="O17" s="22"/>
      <c r="P17" s="22"/>
      <c r="Q17" s="22">
        <v>100</v>
      </c>
      <c r="R17" s="22"/>
      <c r="S17" s="20">
        <f t="shared" si="1"/>
        <v>110815.12</v>
      </c>
      <c r="T17" s="21">
        <f t="shared" si="2"/>
        <v>43.100276146396482</v>
      </c>
      <c r="U17" s="33">
        <v>2</v>
      </c>
      <c r="V17" s="22">
        <v>100</v>
      </c>
      <c r="W17" s="22"/>
      <c r="X17" s="23"/>
      <c r="Y17" s="20">
        <f t="shared" si="3"/>
        <v>756250.2</v>
      </c>
      <c r="Z17" s="25">
        <f t="shared" si="0"/>
        <v>41.466791756979717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0</v>
      </c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27</v>
      </c>
      <c r="V19" s="22"/>
      <c r="W19" s="22"/>
      <c r="X19" s="23"/>
      <c r="Y19" s="20">
        <f t="shared" si="3"/>
        <v>253801.08000000002</v>
      </c>
      <c r="Z19" s="25">
        <f t="shared" si="0"/>
        <v>13.916447932253835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3</v>
      </c>
      <c r="V20" s="22"/>
      <c r="W20" s="22"/>
      <c r="X20" s="23"/>
      <c r="Y20" s="20">
        <f t="shared" si="3"/>
        <v>28200.12</v>
      </c>
      <c r="Z20" s="25">
        <f t="shared" si="0"/>
        <v>1.5462719924726485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5</v>
      </c>
      <c r="V21" s="22"/>
      <c r="W21" s="22"/>
      <c r="X21" s="23"/>
      <c r="Y21" s="20">
        <f t="shared" si="3"/>
        <v>47000.200000000004</v>
      </c>
      <c r="Z21" s="25">
        <f t="shared" si="0"/>
        <v>2.577119987454414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18</v>
      </c>
      <c r="V22" s="22"/>
      <c r="W22" s="22"/>
      <c r="X22" s="23"/>
      <c r="Y22" s="20">
        <f t="shared" si="3"/>
        <v>169200.72</v>
      </c>
      <c r="Z22" s="25">
        <f t="shared" si="0"/>
        <v>9.2776319548358899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23</v>
      </c>
      <c r="V23" s="22"/>
      <c r="W23" s="22"/>
      <c r="X23" s="23"/>
      <c r="Y23" s="20">
        <f t="shared" si="3"/>
        <v>216200.92</v>
      </c>
      <c r="Z23" s="25">
        <f t="shared" si="0"/>
        <v>11.854751942290305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0</v>
      </c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0</v>
      </c>
      <c r="V25" s="22"/>
      <c r="W25" s="22"/>
      <c r="X25" s="23"/>
      <c r="Y25" s="20">
        <f t="shared" si="3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>
        <v>0</v>
      </c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3</v>
      </c>
      <c r="V27" s="22"/>
      <c r="W27" s="22"/>
      <c r="X27" s="23"/>
      <c r="Y27" s="20">
        <f t="shared" si="3"/>
        <v>28200.12</v>
      </c>
      <c r="Z27" s="25">
        <f t="shared" si="0"/>
        <v>1.5462719924726485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7</v>
      </c>
      <c r="V28" s="22"/>
      <c r="W28" s="22"/>
      <c r="X28" s="23"/>
      <c r="Y28" s="20">
        <f t="shared" si="3"/>
        <v>65800.280000000013</v>
      </c>
      <c r="Z28" s="25">
        <f t="shared" si="0"/>
        <v>3.6079679824361799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>
        <v>0</v>
      </c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257110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0</v>
      </c>
      <c r="Y30" s="39">
        <f>SUM(Y6:Y29)</f>
        <v>1823749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1</v>
      </c>
      <c r="D31" s="47">
        <v>0</v>
      </c>
      <c r="E31" s="47">
        <v>22692</v>
      </c>
      <c r="F31" s="47">
        <v>0</v>
      </c>
      <c r="G31" s="47">
        <v>83220</v>
      </c>
      <c r="H31" s="47">
        <v>0</v>
      </c>
      <c r="I31" s="47">
        <v>0</v>
      </c>
      <c r="J31" s="47">
        <v>144221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6976</v>
      </c>
      <c r="R31" s="47">
        <v>0</v>
      </c>
      <c r="S31" s="48">
        <f>SUM(C31:R31)</f>
        <v>257110</v>
      </c>
      <c r="T31" s="48">
        <f>S31*100/$S$31</f>
        <v>100</v>
      </c>
      <c r="U31" s="47">
        <v>940004</v>
      </c>
      <c r="V31" s="47">
        <v>626635</v>
      </c>
      <c r="W31" s="47">
        <v>0</v>
      </c>
      <c r="X31" s="141">
        <v>0</v>
      </c>
      <c r="Y31" s="48">
        <f>+S31+U31+V31+W31+X31</f>
        <v>1823749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B43" s="62"/>
      <c r="C43" s="63"/>
      <c r="F43" s="64"/>
      <c r="G43" s="64"/>
    </row>
    <row r="44" spans="1:19" ht="18.75" x14ac:dyDescent="0.3">
      <c r="A44" s="60"/>
      <c r="B44" s="61"/>
    </row>
    <row r="45" spans="1:19" ht="18.75" x14ac:dyDescent="0.3">
      <c r="A45" s="60"/>
      <c r="B45" s="65"/>
    </row>
  </sheetData>
  <mergeCells count="3">
    <mergeCell ref="A1:Z2"/>
    <mergeCell ref="S4:T4"/>
    <mergeCell ref="Y4:Z4"/>
  </mergeCells>
  <pageMargins left="0.31" right="0.18" top="0.74803149606299213" bottom="0.74803149606299213" header="0.31496062992125984" footer="0.31496062992125984"/>
  <pageSetup paperSize="9" scale="5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C45"/>
  <sheetViews>
    <sheetView zoomScale="90" zoomScaleNormal="90" workbookViewId="0">
      <selection activeCell="A3" sqref="A3"/>
    </sheetView>
  </sheetViews>
  <sheetFormatPr defaultRowHeight="15" x14ac:dyDescent="0.25"/>
  <cols>
    <col min="1" max="1" width="33.7109375" customWidth="1"/>
    <col min="2" max="2" width="7.28515625" customWidth="1"/>
    <col min="3" max="3" width="8.42578125" customWidth="1"/>
    <col min="4" max="4" width="12.5703125" customWidth="1"/>
    <col min="5" max="5" width="13" customWidth="1"/>
    <col min="6" max="6" width="8.85546875" customWidth="1"/>
    <col min="7" max="7" width="9.140625" bestFit="1" customWidth="1"/>
    <col min="8" max="8" width="8.28515625" bestFit="1" customWidth="1"/>
    <col min="9" max="9" width="11.140625" customWidth="1"/>
    <col min="10" max="10" width="9.140625" bestFit="1" customWidth="1"/>
    <col min="11" max="11" width="4.85546875" bestFit="1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9.42578125" customWidth="1"/>
    <col min="16" max="16" width="7" bestFit="1" customWidth="1"/>
    <col min="17" max="17" width="8.140625" bestFit="1" customWidth="1"/>
    <col min="18" max="18" width="6.42578125" bestFit="1" customWidth="1"/>
    <col min="19" max="19" width="10.85546875" customWidth="1"/>
    <col min="20" max="20" width="6.42578125" customWidth="1"/>
    <col min="21" max="21" width="11.140625" customWidth="1"/>
    <col min="22" max="22" width="11.42578125" customWidth="1"/>
    <col min="23" max="23" width="9.28515625" bestFit="1" customWidth="1"/>
    <col min="24" max="24" width="14.140625" customWidth="1"/>
    <col min="25" max="25" width="10.5703125" customWidth="1"/>
    <col min="26" max="26" width="7.7109375" customWidth="1"/>
    <col min="27" max="27" width="1.85546875" customWidth="1"/>
  </cols>
  <sheetData>
    <row r="1" spans="1:29" ht="15" customHeight="1" x14ac:dyDescent="0.25">
      <c r="A1" s="325" t="s">
        <v>223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8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5" t="s">
        <v>15</v>
      </c>
      <c r="Q4" s="245" t="s">
        <v>16</v>
      </c>
      <c r="R4" s="249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7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/>
      <c r="I6" s="19"/>
      <c r="J6" s="19">
        <v>3</v>
      </c>
      <c r="K6" s="19"/>
      <c r="L6" s="19"/>
      <c r="M6" s="19"/>
      <c r="N6" s="19"/>
      <c r="O6" s="19"/>
      <c r="P6" s="19"/>
      <c r="Q6" s="19">
        <v>15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19564.469999999998</v>
      </c>
      <c r="T6" s="21">
        <f>S6*100/$S$31</f>
        <v>1.8514424419072311</v>
      </c>
      <c r="U6" s="22"/>
      <c r="V6" s="22"/>
      <c r="W6" s="22"/>
      <c r="X6" s="23"/>
      <c r="Y6" s="20">
        <f>U6/100*$U$31+V6/100*$V$31+W6/100*$W$31+X6/100*$X$31+S6</f>
        <v>19564.469999999998</v>
      </c>
      <c r="Z6" s="25">
        <f t="shared" ref="Z6:Z28" si="0">Y6*100/$Y$31</f>
        <v>0.36506598048947964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>
        <v>100</v>
      </c>
      <c r="D13" s="22"/>
      <c r="E13" s="22"/>
      <c r="F13" s="22"/>
      <c r="G13" s="22"/>
      <c r="H13" s="22"/>
      <c r="I13" s="22"/>
      <c r="J13" s="22">
        <v>20</v>
      </c>
      <c r="K13" s="22"/>
      <c r="L13" s="22"/>
      <c r="M13" s="22"/>
      <c r="N13" s="22"/>
      <c r="O13" s="22"/>
      <c r="P13" s="22"/>
      <c r="Q13" s="22"/>
      <c r="R13" s="22"/>
      <c r="S13" s="20">
        <f t="shared" si="1"/>
        <v>94733.8</v>
      </c>
      <c r="T13" s="21">
        <f t="shared" si="2"/>
        <v>8.964933780631485</v>
      </c>
      <c r="U13" s="22">
        <v>27</v>
      </c>
      <c r="V13" s="22"/>
      <c r="W13" s="22"/>
      <c r="X13" s="23"/>
      <c r="Y13" s="20">
        <f t="shared" si="3"/>
        <v>697823.89000000013</v>
      </c>
      <c r="Z13" s="25">
        <f t="shared" si="0"/>
        <v>13.021143052269387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2"/>
      <c r="V15" s="33"/>
      <c r="W15" s="22"/>
      <c r="X15" s="23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547359</v>
      </c>
      <c r="T16" s="21">
        <f t="shared" si="2"/>
        <v>51.798166960817248</v>
      </c>
      <c r="U16" s="22"/>
      <c r="V16" s="33"/>
      <c r="W16" s="22"/>
      <c r="X16" s="23"/>
      <c r="Y16" s="20">
        <f t="shared" si="3"/>
        <v>547359</v>
      </c>
      <c r="Z16" s="25">
        <f t="shared" si="0"/>
        <v>10.213522268415199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85</v>
      </c>
      <c r="G17" s="22"/>
      <c r="H17" s="22"/>
      <c r="I17" s="22"/>
      <c r="J17" s="22">
        <v>77</v>
      </c>
      <c r="K17" s="22"/>
      <c r="L17" s="22"/>
      <c r="M17" s="22"/>
      <c r="N17" s="22"/>
      <c r="O17" s="22"/>
      <c r="P17" s="22"/>
      <c r="Q17" s="22">
        <v>85</v>
      </c>
      <c r="R17" s="22"/>
      <c r="S17" s="20">
        <f t="shared" si="1"/>
        <v>395057.73</v>
      </c>
      <c r="T17" s="21">
        <f t="shared" si="2"/>
        <v>37.38545681664403</v>
      </c>
      <c r="U17" s="33">
        <v>5</v>
      </c>
      <c r="V17" s="22">
        <v>100</v>
      </c>
      <c r="W17" s="22"/>
      <c r="X17" s="23"/>
      <c r="Y17" s="20">
        <f>U17/100*$U$31+V17/100*$V$31+W17/100*$W$31+X17/100*$X$31+S17</f>
        <v>2575519.08</v>
      </c>
      <c r="Z17" s="25">
        <f t="shared" si="0"/>
        <v>48.058260622933446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17</v>
      </c>
      <c r="V19" s="22"/>
      <c r="W19" s="22"/>
      <c r="X19" s="23"/>
      <c r="Y19" s="20">
        <f t="shared" si="3"/>
        <v>379723.39</v>
      </c>
      <c r="Z19" s="25">
        <f t="shared" si="0"/>
        <v>7.0855020189731226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3</v>
      </c>
      <c r="V20" s="22"/>
      <c r="W20" s="22"/>
      <c r="X20" s="23"/>
      <c r="Y20" s="20">
        <f t="shared" si="3"/>
        <v>67010.009999999995</v>
      </c>
      <c r="Z20" s="25">
        <f t="shared" si="0"/>
        <v>1.2503827092305508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3</v>
      </c>
      <c r="V21" s="22"/>
      <c r="W21" s="22"/>
      <c r="X21" s="23"/>
      <c r="Y21" s="20">
        <f t="shared" si="3"/>
        <v>67010.009999999995</v>
      </c>
      <c r="Z21" s="25">
        <f t="shared" si="0"/>
        <v>1.2503827092305508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21</v>
      </c>
      <c r="V22" s="22"/>
      <c r="W22" s="22"/>
      <c r="X22" s="23"/>
      <c r="Y22" s="20">
        <f t="shared" si="3"/>
        <v>469070.07</v>
      </c>
      <c r="Z22" s="25">
        <f t="shared" si="0"/>
        <v>8.7526789646138567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15</v>
      </c>
      <c r="V23" s="22"/>
      <c r="W23" s="22"/>
      <c r="X23" s="23"/>
      <c r="Y23" s="20">
        <f t="shared" si="3"/>
        <v>335050.05</v>
      </c>
      <c r="Z23" s="25">
        <f t="shared" si="0"/>
        <v>6.2519135461527551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>C24/100*$C$31+D24/100*$D$31+E24/100*$E$31+F24/100*$F$31+G24/100*$G$31+H24/100*$H$31+I24/100*$I$31+J24/100*$J$31+K24/100*$K$31+L24/100*$L$31+M24/100*$M$31+N24/100*$N$31+O24/100*$O$31+P24/100*$P$31+Q24/100*$Q$31+R24/100*$R$31</f>
        <v>0</v>
      </c>
      <c r="T24" s="21">
        <f t="shared" si="2"/>
        <v>0</v>
      </c>
      <c r="U24" s="22"/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/>
      <c r="V25" s="22"/>
      <c r="W25" s="22"/>
      <c r="X25" s="23"/>
      <c r="Y25" s="20">
        <f t="shared" si="3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7</v>
      </c>
      <c r="V27" s="22"/>
      <c r="W27" s="22"/>
      <c r="X27" s="23"/>
      <c r="Y27" s="20">
        <f t="shared" si="3"/>
        <v>156356.69</v>
      </c>
      <c r="Z27" s="25">
        <f t="shared" si="0"/>
        <v>2.9175596548712859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2</v>
      </c>
      <c r="V28" s="22"/>
      <c r="W28" s="22"/>
      <c r="X28" s="23"/>
      <c r="Y28" s="20">
        <f t="shared" si="3"/>
        <v>44673.340000000004</v>
      </c>
      <c r="Z28" s="25">
        <f t="shared" si="0"/>
        <v>0.83358847282036741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1056715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0</v>
      </c>
      <c r="Y30" s="39">
        <f>SUM(Y6:Y29)</f>
        <v>5359160</v>
      </c>
      <c r="Z30" s="42">
        <f>SUM(Z6:Z29)</f>
        <v>99.999999999999972</v>
      </c>
    </row>
    <row r="31" spans="1:27" ht="15.75" thickBot="1" x14ac:dyDescent="0.3">
      <c r="A31" s="45" t="s">
        <v>51</v>
      </c>
      <c r="B31" s="46" t="s">
        <v>24</v>
      </c>
      <c r="C31" s="47">
        <v>3</v>
      </c>
      <c r="D31" s="47">
        <v>0</v>
      </c>
      <c r="E31" s="47">
        <v>125804</v>
      </c>
      <c r="F31" s="47">
        <v>1</v>
      </c>
      <c r="G31" s="47">
        <v>421555</v>
      </c>
      <c r="H31" s="47">
        <v>0</v>
      </c>
      <c r="I31" s="47">
        <v>0</v>
      </c>
      <c r="J31" s="47">
        <v>473654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35698</v>
      </c>
      <c r="R31" s="47">
        <v>0</v>
      </c>
      <c r="S31" s="48">
        <f>SUM(C31:R31)</f>
        <v>1056715</v>
      </c>
      <c r="T31" s="48">
        <f>S31*100/$S$31</f>
        <v>100</v>
      </c>
      <c r="U31" s="47">
        <v>2233667</v>
      </c>
      <c r="V31" s="47">
        <v>2068778</v>
      </c>
      <c r="W31" s="47">
        <v>0</v>
      </c>
      <c r="X31" s="141">
        <v>0</v>
      </c>
      <c r="Y31" s="48">
        <f>+S31+U31+V31+W31+X31</f>
        <v>5359160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 t="s">
        <v>224</v>
      </c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B43" s="62"/>
      <c r="C43" s="63"/>
      <c r="F43" s="64"/>
      <c r="G43" s="64"/>
    </row>
    <row r="44" spans="1:19" ht="18.75" x14ac:dyDescent="0.3">
      <c r="A44" s="142"/>
      <c r="B44" s="65"/>
    </row>
    <row r="45" spans="1:19" ht="18.75" x14ac:dyDescent="0.3">
      <c r="A45" s="60"/>
      <c r="B45" s="65"/>
    </row>
  </sheetData>
  <mergeCells count="3">
    <mergeCell ref="A1:Z2"/>
    <mergeCell ref="S4:T4"/>
    <mergeCell ref="Y4:Z4"/>
  </mergeCells>
  <pageMargins left="0.3" right="0.19" top="0.74803149606299213" bottom="0.74803149606299213" header="0.31496062992125984" footer="0.31496062992125984"/>
  <pageSetup paperSize="9" scale="55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C50"/>
  <sheetViews>
    <sheetView zoomScale="90" zoomScaleNormal="90" workbookViewId="0">
      <selection activeCell="A3" sqref="A3"/>
    </sheetView>
  </sheetViews>
  <sheetFormatPr defaultRowHeight="15" x14ac:dyDescent="0.25"/>
  <cols>
    <col min="1" max="1" width="34" customWidth="1"/>
    <col min="2" max="2" width="6.7109375" customWidth="1"/>
    <col min="3" max="3" width="8.85546875" bestFit="1" customWidth="1"/>
    <col min="4" max="4" width="12.5703125" customWidth="1"/>
    <col min="5" max="5" width="12.85546875" customWidth="1"/>
    <col min="6" max="6" width="8.85546875" customWidth="1"/>
    <col min="7" max="7" width="9.140625" bestFit="1" customWidth="1"/>
    <col min="8" max="8" width="8.28515625" bestFit="1" customWidth="1"/>
    <col min="9" max="9" width="10.85546875" customWidth="1"/>
    <col min="10" max="10" width="9.140625" bestFit="1" customWidth="1"/>
    <col min="11" max="11" width="5.7109375" customWidth="1"/>
    <col min="12" max="12" width="6.7109375" customWidth="1"/>
    <col min="13" max="13" width="6.28515625" customWidth="1"/>
    <col min="14" max="14" width="7.85546875" bestFit="1" customWidth="1"/>
    <col min="15" max="15" width="9.140625" customWidth="1"/>
    <col min="16" max="16" width="7" bestFit="1" customWidth="1"/>
    <col min="17" max="17" width="8.140625" bestFit="1" customWidth="1"/>
    <col min="18" max="18" width="6.85546875" customWidth="1"/>
    <col min="19" max="19" width="10" customWidth="1"/>
    <col min="20" max="20" width="6.42578125" customWidth="1"/>
    <col min="21" max="21" width="10.7109375" bestFit="1" customWidth="1"/>
    <col min="22" max="22" width="10.5703125" customWidth="1"/>
    <col min="23" max="23" width="9.28515625" bestFit="1" customWidth="1"/>
    <col min="24" max="24" width="14" bestFit="1" customWidth="1"/>
    <col min="25" max="25" width="10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150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57" t="s">
        <v>1</v>
      </c>
      <c r="C4" s="157" t="s">
        <v>2</v>
      </c>
      <c r="D4" s="5" t="s">
        <v>3</v>
      </c>
      <c r="E4" s="5" t="s">
        <v>79</v>
      </c>
      <c r="F4" s="5" t="s">
        <v>102</v>
      </c>
      <c r="G4" s="158" t="s">
        <v>6</v>
      </c>
      <c r="H4" s="158" t="s">
        <v>7</v>
      </c>
      <c r="I4" s="5" t="s">
        <v>101</v>
      </c>
      <c r="J4" s="158" t="s">
        <v>9</v>
      </c>
      <c r="K4" s="158" t="s">
        <v>10</v>
      </c>
      <c r="L4" s="158" t="s">
        <v>11</v>
      </c>
      <c r="M4" s="158" t="s">
        <v>12</v>
      </c>
      <c r="N4" s="158" t="s">
        <v>13</v>
      </c>
      <c r="O4" s="5" t="s">
        <v>14</v>
      </c>
      <c r="P4" s="158" t="s">
        <v>15</v>
      </c>
      <c r="Q4" s="158" t="s">
        <v>16</v>
      </c>
      <c r="R4" s="158" t="s">
        <v>17</v>
      </c>
      <c r="S4" s="327" t="s">
        <v>18</v>
      </c>
      <c r="T4" s="328"/>
      <c r="U4" s="157" t="s">
        <v>19</v>
      </c>
      <c r="V4" s="158" t="s">
        <v>20</v>
      </c>
      <c r="W4" s="7" t="s">
        <v>21</v>
      </c>
      <c r="X4" s="7" t="s">
        <v>22</v>
      </c>
      <c r="Y4" s="329" t="s">
        <v>23</v>
      </c>
      <c r="Z4" s="330"/>
      <c r="AA4" s="154"/>
      <c r="AB4" s="154"/>
      <c r="AC4" s="154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55" t="s">
        <v>25</v>
      </c>
      <c r="U5" s="155" t="s">
        <v>25</v>
      </c>
      <c r="V5" s="155" t="s">
        <v>25</v>
      </c>
      <c r="W5" s="155" t="s">
        <v>25</v>
      </c>
      <c r="X5" s="15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10</v>
      </c>
      <c r="D6" s="19"/>
      <c r="E6" s="19"/>
      <c r="F6" s="19">
        <v>10</v>
      </c>
      <c r="G6" s="19"/>
      <c r="H6" s="19">
        <v>15</v>
      </c>
      <c r="I6" s="19"/>
      <c r="J6" s="19">
        <v>10</v>
      </c>
      <c r="K6" s="19"/>
      <c r="L6" s="19"/>
      <c r="M6" s="19"/>
      <c r="N6" s="19"/>
      <c r="O6" s="19"/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45667.200000000004</v>
      </c>
      <c r="T6" s="21">
        <f>S6*100/$S$31</f>
        <v>3.1487736818916141</v>
      </c>
      <c r="U6" s="22"/>
      <c r="V6" s="22"/>
      <c r="W6" s="22"/>
      <c r="X6" s="23"/>
      <c r="Y6" s="20">
        <f>U6/100*$U$31+V6/100*$V$31+W6/100*$W$31+X6/100*$X$31+S6</f>
        <v>45667.200000000004</v>
      </c>
      <c r="Z6" s="25">
        <f>Y6*100/$Y$31</f>
        <v>0.65745226880289132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0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1">U7/100*$U$31+V7/100*$V$31+W7/100*$W$31+X7/100*$X$31+S7</f>
        <v>0</v>
      </c>
      <c r="Z7" s="25">
        <f t="shared" ref="Z7:Z28" si="2">Y7*100/$Y$31</f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0"/>
        <v>0</v>
      </c>
      <c r="T8" s="21">
        <f>S8*100/$S$31</f>
        <v>0</v>
      </c>
      <c r="U8" s="22"/>
      <c r="V8" s="22"/>
      <c r="W8" s="22"/>
      <c r="X8" s="23"/>
      <c r="Y8" s="20">
        <f t="shared" si="1"/>
        <v>0</v>
      </c>
      <c r="Z8" s="25">
        <f t="shared" si="2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0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1"/>
        <v>0</v>
      </c>
      <c r="Z9" s="25">
        <f t="shared" si="2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0"/>
        <v>0</v>
      </c>
      <c r="T10" s="21">
        <f t="shared" si="3"/>
        <v>0</v>
      </c>
      <c r="U10" s="22"/>
      <c r="V10" s="22"/>
      <c r="W10" s="22"/>
      <c r="X10" s="23"/>
      <c r="Y10" s="20">
        <f t="shared" si="1"/>
        <v>0</v>
      </c>
      <c r="Z10" s="25">
        <f t="shared" si="2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0"/>
        <v>0</v>
      </c>
      <c r="T11" s="21">
        <f t="shared" si="3"/>
        <v>0</v>
      </c>
      <c r="U11" s="22"/>
      <c r="V11" s="22"/>
      <c r="W11" s="22"/>
      <c r="X11" s="23"/>
      <c r="Y11" s="20">
        <f t="shared" si="1"/>
        <v>0</v>
      </c>
      <c r="Z11" s="25">
        <f t="shared" si="2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0"/>
        <v>0</v>
      </c>
      <c r="T12" s="21">
        <f t="shared" si="3"/>
        <v>0</v>
      </c>
      <c r="U12" s="22"/>
      <c r="V12" s="22"/>
      <c r="W12" s="22"/>
      <c r="X12" s="23"/>
      <c r="Y12" s="20">
        <f t="shared" si="1"/>
        <v>0</v>
      </c>
      <c r="Z12" s="25">
        <f t="shared" si="2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0"/>
        <v>0</v>
      </c>
      <c r="T13" s="21">
        <f t="shared" si="3"/>
        <v>0</v>
      </c>
      <c r="U13" s="22"/>
      <c r="V13" s="22"/>
      <c r="W13" s="22"/>
      <c r="X13" s="23"/>
      <c r="Y13" s="20">
        <f t="shared" si="1"/>
        <v>0</v>
      </c>
      <c r="Z13" s="25">
        <f t="shared" si="2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0"/>
        <v>0</v>
      </c>
      <c r="T14" s="21">
        <f t="shared" si="3"/>
        <v>0</v>
      </c>
      <c r="U14" s="22"/>
      <c r="V14" s="22"/>
      <c r="W14" s="22"/>
      <c r="X14" s="23"/>
      <c r="Y14" s="20">
        <f t="shared" si="1"/>
        <v>0</v>
      </c>
      <c r="Z14" s="25">
        <f t="shared" si="2"/>
        <v>0</v>
      </c>
    </row>
    <row r="15" spans="1:29" x14ac:dyDescent="0.25">
      <c r="A15" s="31" t="s">
        <v>35</v>
      </c>
      <c r="B15" s="159" t="s">
        <v>25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0"/>
        <v>0</v>
      </c>
      <c r="T15" s="21">
        <f t="shared" si="3"/>
        <v>0</v>
      </c>
      <c r="U15" s="22"/>
      <c r="V15" s="33"/>
      <c r="W15" s="22"/>
      <c r="X15" s="23"/>
      <c r="Y15" s="20">
        <f t="shared" si="1"/>
        <v>0</v>
      </c>
      <c r="Z15" s="25">
        <f t="shared" si="2"/>
        <v>0</v>
      </c>
    </row>
    <row r="16" spans="1:29" x14ac:dyDescent="0.25">
      <c r="A16" s="29" t="s">
        <v>36</v>
      </c>
      <c r="B16" s="72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>
        <v>100</v>
      </c>
      <c r="R16" s="22"/>
      <c r="S16" s="20">
        <f t="shared" si="0"/>
        <v>996873</v>
      </c>
      <c r="T16" s="21">
        <f t="shared" si="3"/>
        <v>68.734835211888154</v>
      </c>
      <c r="U16" s="22"/>
      <c r="V16" s="33"/>
      <c r="W16" s="22"/>
      <c r="X16" s="23"/>
      <c r="Y16" s="20">
        <f t="shared" si="1"/>
        <v>996873</v>
      </c>
      <c r="Z16" s="25">
        <f>Y16*100/$Y$31</f>
        <v>14.351578716416698</v>
      </c>
    </row>
    <row r="17" spans="1:27" x14ac:dyDescent="0.25">
      <c r="A17" s="43" t="s">
        <v>37</v>
      </c>
      <c r="B17" s="30" t="s">
        <v>25</v>
      </c>
      <c r="C17" s="22">
        <v>90</v>
      </c>
      <c r="D17" s="22"/>
      <c r="E17" s="22"/>
      <c r="F17" s="22">
        <v>90</v>
      </c>
      <c r="G17" s="22"/>
      <c r="H17" s="22">
        <v>85</v>
      </c>
      <c r="I17" s="22"/>
      <c r="J17" s="22">
        <v>90</v>
      </c>
      <c r="K17" s="22"/>
      <c r="L17" s="22"/>
      <c r="M17" s="22"/>
      <c r="N17" s="22"/>
      <c r="O17" s="22"/>
      <c r="P17" s="22"/>
      <c r="Q17" s="22"/>
      <c r="R17" s="22"/>
      <c r="S17" s="20">
        <f t="shared" si="0"/>
        <v>407776.8</v>
      </c>
      <c r="T17" s="21">
        <f t="shared" si="3"/>
        <v>28.116391106220227</v>
      </c>
      <c r="U17" s="33"/>
      <c r="V17" s="22">
        <v>100</v>
      </c>
      <c r="W17" s="22"/>
      <c r="X17" s="23"/>
      <c r="Y17" s="20">
        <f t="shared" si="1"/>
        <v>1935327.8</v>
      </c>
      <c r="Z17" s="25">
        <f t="shared" si="2"/>
        <v>27.862134157279364</v>
      </c>
    </row>
    <row r="18" spans="1:27" x14ac:dyDescent="0.25">
      <c r="A18" s="35" t="s">
        <v>38</v>
      </c>
      <c r="B18" s="159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0"/>
        <v>0</v>
      </c>
      <c r="T18" s="21">
        <f>S18*100/$S$31</f>
        <v>0</v>
      </c>
      <c r="U18" s="33"/>
      <c r="V18" s="22"/>
      <c r="W18" s="22"/>
      <c r="X18" s="23"/>
      <c r="Y18" s="20">
        <f t="shared" si="1"/>
        <v>0</v>
      </c>
      <c r="Z18" s="25">
        <f t="shared" si="2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0"/>
        <v>0</v>
      </c>
      <c r="T19" s="21">
        <f t="shared" ref="T19:T29" si="4">S19*100/$S$31</f>
        <v>0</v>
      </c>
      <c r="U19" s="33">
        <v>5</v>
      </c>
      <c r="V19" s="22"/>
      <c r="W19" s="22"/>
      <c r="X19" s="23"/>
      <c r="Y19" s="20">
        <f t="shared" si="1"/>
        <v>198410.90000000002</v>
      </c>
      <c r="Z19" s="25">
        <f t="shared" si="2"/>
        <v>2.8564417428750528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0"/>
        <v>0</v>
      </c>
      <c r="T20" s="21">
        <f t="shared" si="4"/>
        <v>0</v>
      </c>
      <c r="U20" s="33">
        <v>0.6</v>
      </c>
      <c r="V20" s="22"/>
      <c r="W20" s="22"/>
      <c r="X20" s="23"/>
      <c r="Y20" s="20">
        <f t="shared" si="1"/>
        <v>23809.308000000001</v>
      </c>
      <c r="Z20" s="25">
        <f t="shared" si="2"/>
        <v>0.3427730091450063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0"/>
        <v>0</v>
      </c>
      <c r="T21" s="21">
        <f t="shared" si="4"/>
        <v>0</v>
      </c>
      <c r="U21" s="33">
        <v>30.4</v>
      </c>
      <c r="V21" s="22"/>
      <c r="W21" s="22"/>
      <c r="X21" s="23"/>
      <c r="Y21" s="20">
        <f t="shared" si="1"/>
        <v>1206338.2719999999</v>
      </c>
      <c r="Z21" s="25">
        <f t="shared" si="2"/>
        <v>17.367165796680315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0"/>
        <v>0</v>
      </c>
      <c r="T22" s="21">
        <f t="shared" si="4"/>
        <v>0</v>
      </c>
      <c r="U22" s="33">
        <v>0.1</v>
      </c>
      <c r="V22" s="22"/>
      <c r="W22" s="22"/>
      <c r="X22" s="23"/>
      <c r="Y22" s="20">
        <f t="shared" si="1"/>
        <v>3968.2180000000003</v>
      </c>
      <c r="Z22" s="25">
        <f t="shared" si="2"/>
        <v>5.7128834857501053E-2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0"/>
        <v>0</v>
      </c>
      <c r="T23" s="21">
        <f t="shared" si="4"/>
        <v>0</v>
      </c>
      <c r="U23" s="33">
        <v>5.2</v>
      </c>
      <c r="V23" s="22"/>
      <c r="W23" s="22"/>
      <c r="X23" s="23"/>
      <c r="Y23" s="20">
        <f t="shared" si="1"/>
        <v>206347.33600000001</v>
      </c>
      <c r="Z23" s="25">
        <f t="shared" si="2"/>
        <v>2.9706994125900543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0"/>
        <v>0</v>
      </c>
      <c r="T24" s="21">
        <f t="shared" si="4"/>
        <v>0</v>
      </c>
      <c r="U24" s="22"/>
      <c r="V24" s="22"/>
      <c r="W24" s="22"/>
      <c r="X24" s="23"/>
      <c r="Y24" s="20">
        <f t="shared" si="1"/>
        <v>0</v>
      </c>
      <c r="Z24" s="25">
        <f t="shared" si="2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0"/>
        <v>0</v>
      </c>
      <c r="T25" s="21">
        <f t="shared" si="4"/>
        <v>0</v>
      </c>
      <c r="U25" s="33"/>
      <c r="V25" s="22"/>
      <c r="W25" s="22"/>
      <c r="X25" s="23"/>
      <c r="Y25" s="20">
        <f t="shared" si="1"/>
        <v>0</v>
      </c>
      <c r="Z25" s="25">
        <f t="shared" si="2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0"/>
        <v>0</v>
      </c>
      <c r="T26" s="21">
        <f t="shared" si="4"/>
        <v>0</v>
      </c>
      <c r="U26" s="22"/>
      <c r="V26" s="22"/>
      <c r="W26" s="22"/>
      <c r="X26" s="23"/>
      <c r="Y26" s="20">
        <f t="shared" si="1"/>
        <v>0</v>
      </c>
      <c r="Z26" s="25">
        <f t="shared" si="2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0"/>
        <v>0</v>
      </c>
      <c r="T27" s="21">
        <f t="shared" si="4"/>
        <v>0</v>
      </c>
      <c r="U27" s="33"/>
      <c r="V27" s="22"/>
      <c r="W27" s="22"/>
      <c r="X27" s="23"/>
      <c r="Y27" s="20">
        <f t="shared" si="1"/>
        <v>0</v>
      </c>
      <c r="Z27" s="25">
        <f t="shared" si="2"/>
        <v>0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0"/>
        <v>0</v>
      </c>
      <c r="T28" s="21">
        <f t="shared" si="4"/>
        <v>0</v>
      </c>
      <c r="U28" s="33">
        <v>58.7</v>
      </c>
      <c r="V28" s="22"/>
      <c r="W28" s="22"/>
      <c r="X28" s="23"/>
      <c r="Y28" s="20">
        <f t="shared" si="1"/>
        <v>2329343.9660000005</v>
      </c>
      <c r="Z28" s="25">
        <f t="shared" si="2"/>
        <v>33.534626061353123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0"/>
        <v>0</v>
      </c>
      <c r="T29" s="40">
        <f t="shared" si="4"/>
        <v>0</v>
      </c>
      <c r="U29" s="38"/>
      <c r="V29" s="38"/>
      <c r="W29" s="38"/>
      <c r="X29" s="41"/>
      <c r="Y29" s="39">
        <f t="shared" si="1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1450317</v>
      </c>
      <c r="T30" s="20">
        <f>+SUM(T6:T29)</f>
        <v>100</v>
      </c>
      <c r="U30" s="139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6946086.0000000019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20798</v>
      </c>
      <c r="D31" s="47">
        <v>0</v>
      </c>
      <c r="E31" s="47">
        <v>147888</v>
      </c>
      <c r="F31" s="47">
        <v>84723</v>
      </c>
      <c r="G31" s="47">
        <v>785333</v>
      </c>
      <c r="H31" s="47">
        <v>6456</v>
      </c>
      <c r="I31" s="47">
        <v>0</v>
      </c>
      <c r="J31" s="47">
        <v>341467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63652</v>
      </c>
      <c r="R31" s="47">
        <v>0</v>
      </c>
      <c r="S31" s="48">
        <f>SUM(C31:R31)</f>
        <v>1450317</v>
      </c>
      <c r="T31" s="48">
        <f>S31*100/$S$31</f>
        <v>100</v>
      </c>
      <c r="U31" s="47">
        <v>3968218</v>
      </c>
      <c r="V31" s="47">
        <v>1527551</v>
      </c>
      <c r="W31" s="47">
        <v>0</v>
      </c>
      <c r="X31" s="141">
        <v>0</v>
      </c>
      <c r="Y31" s="48">
        <f>+S31+U31+V31+W31+X31</f>
        <v>6946086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1" x14ac:dyDescent="0.25">
      <c r="A33" s="55"/>
      <c r="S33" s="1"/>
    </row>
    <row r="34" spans="1:21" x14ac:dyDescent="0.25">
      <c r="A34" s="56" t="s">
        <v>53</v>
      </c>
      <c r="B34" s="57"/>
      <c r="C34" s="57"/>
      <c r="D34" s="57"/>
      <c r="E34" s="57"/>
      <c r="F34" s="58"/>
      <c r="G34" s="10"/>
      <c r="U34" s="81"/>
    </row>
    <row r="35" spans="1:21" x14ac:dyDescent="0.25">
      <c r="A35" s="59" t="s">
        <v>54</v>
      </c>
      <c r="B35" s="22"/>
      <c r="C35" s="22"/>
      <c r="D35" s="22"/>
      <c r="E35" s="22"/>
      <c r="F35" s="23"/>
      <c r="G35" s="10"/>
    </row>
    <row r="36" spans="1:21" x14ac:dyDescent="0.25">
      <c r="A36" s="59" t="s">
        <v>56</v>
      </c>
      <c r="B36" s="22"/>
      <c r="C36" s="22"/>
      <c r="D36" s="22"/>
      <c r="E36" s="22"/>
      <c r="F36" s="23"/>
      <c r="G36" s="10"/>
    </row>
    <row r="37" spans="1:21" x14ac:dyDescent="0.25">
      <c r="A37" s="11" t="s">
        <v>57</v>
      </c>
      <c r="B37" s="38"/>
      <c r="C37" s="38"/>
      <c r="D37" s="38"/>
      <c r="E37" s="38"/>
      <c r="F37" s="41"/>
      <c r="G37" s="10"/>
    </row>
    <row r="38" spans="1:21" x14ac:dyDescent="0.25">
      <c r="A38" t="s">
        <v>58</v>
      </c>
      <c r="G38" s="10"/>
    </row>
    <row r="39" spans="1:21" ht="18.75" x14ac:dyDescent="0.3">
      <c r="A39" s="60"/>
      <c r="B39" s="61"/>
      <c r="G39" s="10"/>
    </row>
    <row r="40" spans="1:21" ht="18.75" x14ac:dyDescent="0.3">
      <c r="A40" s="60"/>
      <c r="B40" s="61"/>
      <c r="G40" s="10"/>
    </row>
    <row r="41" spans="1:21" ht="18.75" x14ac:dyDescent="0.3">
      <c r="B41" s="61"/>
    </row>
    <row r="42" spans="1:21" x14ac:dyDescent="0.25">
      <c r="A42" s="10" t="s">
        <v>96</v>
      </c>
      <c r="C42" s="62" t="s">
        <v>97</v>
      </c>
      <c r="D42" s="62"/>
      <c r="E42" s="62"/>
    </row>
    <row r="43" spans="1:21" x14ac:dyDescent="0.25">
      <c r="A43" s="62" t="s">
        <v>151</v>
      </c>
      <c r="B43" s="62"/>
      <c r="C43" s="63">
        <v>547095</v>
      </c>
      <c r="F43" s="64"/>
      <c r="G43" s="64"/>
    </row>
    <row r="44" spans="1:21" x14ac:dyDescent="0.25">
      <c r="A44" s="62" t="s">
        <v>152</v>
      </c>
      <c r="B44" s="62"/>
      <c r="C44" s="63">
        <v>90711</v>
      </c>
    </row>
    <row r="45" spans="1:21" x14ac:dyDescent="0.25">
      <c r="A45" s="62" t="s">
        <v>153</v>
      </c>
      <c r="B45" s="62"/>
      <c r="C45" s="63">
        <v>686698</v>
      </c>
    </row>
    <row r="46" spans="1:21" x14ac:dyDescent="0.25">
      <c r="A46" s="62" t="s">
        <v>154</v>
      </c>
      <c r="B46" s="62"/>
      <c r="C46" s="63">
        <v>551430</v>
      </c>
    </row>
    <row r="47" spans="1:21" x14ac:dyDescent="0.25">
      <c r="A47" s="62" t="s">
        <v>155</v>
      </c>
      <c r="B47" s="62"/>
      <c r="C47" s="63">
        <v>2682570</v>
      </c>
    </row>
    <row r="48" spans="1:21" x14ac:dyDescent="0.25">
      <c r="A48" s="62" t="s">
        <v>156</v>
      </c>
      <c r="B48" s="62"/>
      <c r="C48" s="63">
        <v>2064933</v>
      </c>
    </row>
    <row r="49" spans="1:3" x14ac:dyDescent="0.25">
      <c r="A49" s="62" t="s">
        <v>157</v>
      </c>
      <c r="B49" s="62"/>
      <c r="C49" s="63">
        <v>322649</v>
      </c>
    </row>
    <row r="50" spans="1:3" x14ac:dyDescent="0.25">
      <c r="C50">
        <f>SUM(C43:C49)</f>
        <v>6946086</v>
      </c>
    </row>
  </sheetData>
  <mergeCells count="3">
    <mergeCell ref="A1:Z2"/>
    <mergeCell ref="S4:T4"/>
    <mergeCell ref="Y4:Z4"/>
  </mergeCells>
  <pageMargins left="0.3" right="0.18" top="0.74803149606299213" bottom="0.74803149606299213" header="0.31496062992125984" footer="0.31496062992125984"/>
  <pageSetup paperSize="9" scale="55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C48"/>
  <sheetViews>
    <sheetView zoomScale="90" zoomScaleNormal="90" workbookViewId="0">
      <selection activeCell="A3" sqref="A3"/>
    </sheetView>
  </sheetViews>
  <sheetFormatPr defaultRowHeight="15" x14ac:dyDescent="0.25"/>
  <cols>
    <col min="1" max="1" width="33.5703125" customWidth="1"/>
    <col min="2" max="2" width="6.7109375" customWidth="1"/>
    <col min="3" max="3" width="8.140625" customWidth="1"/>
    <col min="4" max="4" width="13.140625" customWidth="1"/>
    <col min="5" max="5" width="13.28515625" customWidth="1"/>
    <col min="6" max="6" width="9.85546875" customWidth="1"/>
    <col min="7" max="7" width="9.140625" bestFit="1" customWidth="1"/>
    <col min="8" max="8" width="8.28515625" bestFit="1" customWidth="1"/>
    <col min="9" max="9" width="11.5703125" customWidth="1"/>
    <col min="10" max="10" width="9.140625" bestFit="1" customWidth="1"/>
    <col min="11" max="12" width="6" customWidth="1"/>
    <col min="13" max="13" width="7.140625" customWidth="1"/>
    <col min="14" max="14" width="7.85546875" bestFit="1" customWidth="1"/>
    <col min="15" max="15" width="9.28515625" customWidth="1"/>
    <col min="16" max="16" width="7" bestFit="1" customWidth="1"/>
    <col min="17" max="17" width="8.140625" bestFit="1" customWidth="1"/>
    <col min="18" max="18" width="6.42578125" bestFit="1" customWidth="1"/>
    <col min="19" max="19" width="9.5703125" customWidth="1"/>
    <col min="20" max="20" width="6.42578125" customWidth="1"/>
    <col min="21" max="21" width="9.5703125" customWidth="1"/>
    <col min="22" max="22" width="11.140625" bestFit="1" customWidth="1"/>
    <col min="23" max="23" width="9.28515625" bestFit="1" customWidth="1"/>
    <col min="24" max="24" width="14" bestFit="1" customWidth="1"/>
    <col min="25" max="25" width="10.42578125" customWidth="1"/>
    <col min="26" max="26" width="7.42578125" customWidth="1"/>
    <col min="27" max="27" width="1.85546875" customWidth="1"/>
  </cols>
  <sheetData>
    <row r="1" spans="1:29" ht="15" customHeight="1" x14ac:dyDescent="0.25">
      <c r="A1" s="325" t="s">
        <v>225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4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6" t="s">
        <v>15</v>
      </c>
      <c r="Q4" s="246" t="s">
        <v>16</v>
      </c>
      <c r="R4" s="247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7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10</v>
      </c>
      <c r="G6" s="19"/>
      <c r="H6" s="19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17311.75</v>
      </c>
      <c r="T6" s="140">
        <f>S6*100/$S$31</f>
        <v>1.8841059999064027</v>
      </c>
      <c r="U6" s="22"/>
      <c r="V6" s="22"/>
      <c r="W6" s="22"/>
      <c r="X6" s="23"/>
      <c r="Y6" s="20">
        <f>U6/100*$U$31+V6/100*$V$31+W6/100*$W$31+X6/100*$X$31+S6</f>
        <v>17311.75</v>
      </c>
      <c r="Z6" s="25">
        <f t="shared" ref="Z6:Z28" si="0">Y6*100/$Y$31</f>
        <v>0.68181299023739339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2"/>
      <c r="V15" s="33"/>
      <c r="W15" s="22"/>
      <c r="X15" s="23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510278</v>
      </c>
      <c r="T16" s="21">
        <f t="shared" si="2"/>
        <v>55.535566388160611</v>
      </c>
      <c r="U16" s="22"/>
      <c r="V16" s="33"/>
      <c r="W16" s="22"/>
      <c r="X16" s="23"/>
      <c r="Y16" s="20">
        <f t="shared" si="3"/>
        <v>510278</v>
      </c>
      <c r="Z16" s="25">
        <f t="shared" si="0"/>
        <v>20.096995915049412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90</v>
      </c>
      <c r="G17" s="22"/>
      <c r="H17" s="22">
        <v>85</v>
      </c>
      <c r="I17" s="22"/>
      <c r="J17" s="22">
        <v>100</v>
      </c>
      <c r="K17" s="22"/>
      <c r="L17" s="22"/>
      <c r="M17" s="22"/>
      <c r="N17" s="22"/>
      <c r="O17" s="22"/>
      <c r="P17" s="22"/>
      <c r="Q17" s="22">
        <v>100</v>
      </c>
      <c r="R17" s="22"/>
      <c r="S17" s="20">
        <f t="shared" si="1"/>
        <v>391241.25</v>
      </c>
      <c r="T17" s="21">
        <f t="shared" si="2"/>
        <v>42.580327611932987</v>
      </c>
      <c r="U17" s="33">
        <v>3</v>
      </c>
      <c r="V17" s="22">
        <v>100</v>
      </c>
      <c r="W17" s="22"/>
      <c r="X17" s="23"/>
      <c r="Y17" s="20">
        <f t="shared" si="3"/>
        <v>1339531.3599999999</v>
      </c>
      <c r="Z17" s="25">
        <f t="shared" si="0"/>
        <v>52.756646906197368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55</v>
      </c>
      <c r="V19" s="22"/>
      <c r="W19" s="22"/>
      <c r="X19" s="23"/>
      <c r="Y19" s="20">
        <f t="shared" si="3"/>
        <v>381005.35000000003</v>
      </c>
      <c r="Z19" s="25">
        <f t="shared" si="0"/>
        <v>15.00566938524093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2</v>
      </c>
      <c r="V20" s="22"/>
      <c r="W20" s="22"/>
      <c r="X20" s="23"/>
      <c r="Y20" s="20">
        <f t="shared" si="3"/>
        <v>13854.74</v>
      </c>
      <c r="Z20" s="25">
        <f t="shared" si="0"/>
        <v>0.54566070491785201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6</v>
      </c>
      <c r="V21" s="22"/>
      <c r="W21" s="22"/>
      <c r="X21" s="23"/>
      <c r="Y21" s="20">
        <f t="shared" si="3"/>
        <v>41564.22</v>
      </c>
      <c r="Z21" s="25">
        <f t="shared" si="0"/>
        <v>1.6369821147535559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0</v>
      </c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20</v>
      </c>
      <c r="V23" s="22"/>
      <c r="W23" s="22"/>
      <c r="X23" s="23"/>
      <c r="Y23" s="20">
        <f t="shared" si="3"/>
        <v>138547.4</v>
      </c>
      <c r="Z23" s="25">
        <f t="shared" si="0"/>
        <v>5.4566070491785199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0</v>
      </c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0</v>
      </c>
      <c r="V25" s="22"/>
      <c r="W25" s="22"/>
      <c r="X25" s="23"/>
      <c r="Y25" s="20">
        <f t="shared" si="3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>
        <v>0</v>
      </c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0</v>
      </c>
      <c r="V27" s="22"/>
      <c r="W27" s="22"/>
      <c r="X27" s="23"/>
      <c r="Y27" s="20">
        <f t="shared" si="3"/>
        <v>0</v>
      </c>
      <c r="Z27" s="25">
        <f t="shared" si="0"/>
        <v>0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14</v>
      </c>
      <c r="V28" s="22"/>
      <c r="W28" s="22"/>
      <c r="X28" s="23"/>
      <c r="Y28" s="20">
        <f t="shared" si="3"/>
        <v>96983.180000000008</v>
      </c>
      <c r="Z28" s="25">
        <f t="shared" si="0"/>
        <v>3.8196249344249642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>Y29*100/$Y$31</f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918831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0</v>
      </c>
      <c r="Y30" s="39">
        <f>SUM(Y6:Y29)</f>
        <v>2539076.0000000005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99596</v>
      </c>
      <c r="F31" s="47">
        <v>155359</v>
      </c>
      <c r="G31" s="47">
        <v>410682</v>
      </c>
      <c r="H31" s="47">
        <v>11839</v>
      </c>
      <c r="I31" s="47">
        <v>0</v>
      </c>
      <c r="J31" s="47">
        <v>207334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34021</v>
      </c>
      <c r="R31" s="47">
        <v>0</v>
      </c>
      <c r="S31" s="48">
        <f>SUM(C31:R31)</f>
        <v>918831</v>
      </c>
      <c r="T31" s="48">
        <f>S31*100/$S$31</f>
        <v>100</v>
      </c>
      <c r="U31" s="47">
        <v>692737</v>
      </c>
      <c r="V31" s="47">
        <v>927508</v>
      </c>
      <c r="W31" s="47">
        <v>0</v>
      </c>
      <c r="X31" s="141">
        <v>0</v>
      </c>
      <c r="Y31" s="48">
        <f>+S31+U31+V31+W31+X31</f>
        <v>2539076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B43" s="62"/>
      <c r="C43" s="63"/>
      <c r="F43" s="64"/>
      <c r="G43" s="64"/>
    </row>
    <row r="44" spans="1:19" x14ac:dyDescent="0.25">
      <c r="A44" s="62"/>
      <c r="B44" s="62"/>
      <c r="C44" s="63"/>
    </row>
    <row r="45" spans="1:19" x14ac:dyDescent="0.25">
      <c r="A45" s="62"/>
      <c r="B45" s="62"/>
      <c r="C45" s="63"/>
    </row>
    <row r="46" spans="1:19" x14ac:dyDescent="0.25">
      <c r="A46" s="62"/>
      <c r="B46" s="62"/>
      <c r="C46" s="63"/>
    </row>
    <row r="47" spans="1:19" x14ac:dyDescent="0.25">
      <c r="A47" s="62"/>
      <c r="B47" s="62"/>
    </row>
    <row r="48" spans="1:19" x14ac:dyDescent="0.25">
      <c r="A48" s="62"/>
      <c r="B48" s="62"/>
      <c r="C48" s="63"/>
    </row>
  </sheetData>
  <mergeCells count="3">
    <mergeCell ref="A1:Z2"/>
    <mergeCell ref="S4:T4"/>
    <mergeCell ref="Y4:Z4"/>
  </mergeCells>
  <pageMargins left="0.27" right="0.22" top="0.74803149606299213" bottom="0.74803149606299213" header="0.31496062992125984" footer="0.31496062992125984"/>
  <pageSetup paperSize="9" scale="55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C47"/>
  <sheetViews>
    <sheetView zoomScale="90" zoomScaleNormal="90" workbookViewId="0">
      <selection activeCell="A3" sqref="A3"/>
    </sheetView>
  </sheetViews>
  <sheetFormatPr defaultRowHeight="15" x14ac:dyDescent="0.25"/>
  <cols>
    <col min="1" max="1" width="33.7109375" customWidth="1"/>
    <col min="2" max="2" width="6.85546875" customWidth="1"/>
    <col min="3" max="3" width="7.5703125" customWidth="1"/>
    <col min="4" max="4" width="13.140625" customWidth="1"/>
    <col min="5" max="5" width="12.85546875" customWidth="1"/>
    <col min="6" max="6" width="9.42578125" customWidth="1"/>
    <col min="7" max="7" width="10.7109375" bestFit="1" customWidth="1"/>
    <col min="8" max="8" width="8.28515625" bestFit="1" customWidth="1"/>
    <col min="9" max="9" width="11.140625" customWidth="1"/>
    <col min="10" max="10" width="9" bestFit="1" customWidth="1"/>
    <col min="11" max="11" width="6" customWidth="1"/>
    <col min="12" max="12" width="5.28515625" bestFit="1" customWidth="1"/>
    <col min="13" max="13" width="5.7109375" bestFit="1" customWidth="1"/>
    <col min="14" max="14" width="7.85546875" bestFit="1" customWidth="1"/>
    <col min="15" max="15" width="10.28515625" customWidth="1"/>
    <col min="16" max="16" width="7" bestFit="1" customWidth="1"/>
    <col min="17" max="17" width="8.140625" bestFit="1" customWidth="1"/>
    <col min="18" max="18" width="6.42578125" bestFit="1" customWidth="1"/>
    <col min="19" max="19" width="10.85546875" customWidth="1"/>
    <col min="20" max="20" width="7.28515625" customWidth="1"/>
    <col min="21" max="21" width="10.5703125" customWidth="1"/>
    <col min="22" max="22" width="11.42578125" customWidth="1"/>
    <col min="23" max="23" width="9.28515625" bestFit="1" customWidth="1"/>
    <col min="24" max="24" width="13.85546875" customWidth="1"/>
    <col min="25" max="25" width="9.7109375" customWidth="1"/>
    <col min="26" max="26" width="6.5703125" customWidth="1"/>
    <col min="27" max="27" width="1.85546875" customWidth="1"/>
  </cols>
  <sheetData>
    <row r="1" spans="1:29" ht="15" customHeight="1" x14ac:dyDescent="0.25">
      <c r="A1" s="325" t="s">
        <v>226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4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6" t="s">
        <v>15</v>
      </c>
      <c r="Q4" s="246" t="s">
        <v>16</v>
      </c>
      <c r="R4" s="247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7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/>
      <c r="I6" s="19"/>
      <c r="J6" s="19">
        <v>10</v>
      </c>
      <c r="K6" s="19"/>
      <c r="L6" s="19"/>
      <c r="M6" s="19"/>
      <c r="N6" s="19"/>
      <c r="O6" s="19"/>
      <c r="P6" s="19"/>
      <c r="Q6" s="19">
        <v>15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20011.650000000001</v>
      </c>
      <c r="T6" s="140">
        <f>S6*100/$S$31</f>
        <v>1.5090911284672868</v>
      </c>
      <c r="U6" s="22"/>
      <c r="V6" s="22"/>
      <c r="W6" s="22"/>
      <c r="X6" s="23"/>
      <c r="Y6" s="20">
        <f>U6/100*$U$31+V6/100*$V$31+W6/100*$W$31+X6/100*$X$31+S6</f>
        <v>20011.650000000001</v>
      </c>
      <c r="Z6" s="25">
        <f t="shared" ref="Z6:Z28" si="0">Y6*100/$Y$31</f>
        <v>0.88374246661729428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2"/>
      <c r="V15" s="33"/>
      <c r="W15" s="22"/>
      <c r="X15" s="23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1166995</v>
      </c>
      <c r="T16" s="21">
        <f t="shared" si="2"/>
        <v>88.003827843565176</v>
      </c>
      <c r="U16" s="22"/>
      <c r="V16" s="33"/>
      <c r="W16" s="22"/>
      <c r="X16" s="23"/>
      <c r="Y16" s="20">
        <f t="shared" si="3"/>
        <v>1166995</v>
      </c>
      <c r="Z16" s="25">
        <f t="shared" si="0"/>
        <v>51.536132194499167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85</v>
      </c>
      <c r="G17" s="22"/>
      <c r="H17" s="22"/>
      <c r="I17" s="22"/>
      <c r="J17" s="22">
        <v>90</v>
      </c>
      <c r="K17" s="22"/>
      <c r="L17" s="22"/>
      <c r="M17" s="22"/>
      <c r="N17" s="22"/>
      <c r="O17" s="22"/>
      <c r="P17" s="22"/>
      <c r="Q17" s="22">
        <v>85</v>
      </c>
      <c r="R17" s="22"/>
      <c r="S17" s="20">
        <f t="shared" si="1"/>
        <v>139066.35</v>
      </c>
      <c r="T17" s="21">
        <f t="shared" si="2"/>
        <v>10.487081027967541</v>
      </c>
      <c r="U17" s="33">
        <v>9</v>
      </c>
      <c r="V17" s="22">
        <v>100</v>
      </c>
      <c r="W17" s="22"/>
      <c r="X17" s="23"/>
      <c r="Y17" s="20">
        <f t="shared" si="3"/>
        <v>536981.73</v>
      </c>
      <c r="Z17" s="25">
        <f t="shared" si="0"/>
        <v>23.713864603799383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46</v>
      </c>
      <c r="V19" s="22"/>
      <c r="W19" s="22"/>
      <c r="X19" s="23"/>
      <c r="Y19" s="20">
        <f t="shared" si="3"/>
        <v>273185.72000000003</v>
      </c>
      <c r="Z19" s="25">
        <f t="shared" si="0"/>
        <v>12.064263668284301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5</v>
      </c>
      <c r="V20" s="22"/>
      <c r="W20" s="22"/>
      <c r="X20" s="23"/>
      <c r="Y20" s="20">
        <f t="shared" si="3"/>
        <v>29694.100000000002</v>
      </c>
      <c r="Z20" s="25">
        <f t="shared" si="0"/>
        <v>1.3113330074222065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5</v>
      </c>
      <c r="V21" s="22"/>
      <c r="W21" s="22"/>
      <c r="X21" s="23"/>
      <c r="Y21" s="20">
        <f t="shared" si="3"/>
        <v>29694.100000000002</v>
      </c>
      <c r="Z21" s="25">
        <f t="shared" si="0"/>
        <v>1.3113330074222065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12</v>
      </c>
      <c r="V23" s="22"/>
      <c r="W23" s="22"/>
      <c r="X23" s="23"/>
      <c r="Y23" s="20">
        <f t="shared" si="3"/>
        <v>71265.84</v>
      </c>
      <c r="Z23" s="25">
        <f t="shared" si="0"/>
        <v>3.1471992178132955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/>
      <c r="V24" s="22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/>
      <c r="V25" s="22"/>
      <c r="W25" s="22"/>
      <c r="X25" s="23"/>
      <c r="Y25" s="20">
        <f t="shared" si="3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7</v>
      </c>
      <c r="V27" s="22"/>
      <c r="W27" s="22"/>
      <c r="X27" s="23"/>
      <c r="Y27" s="20">
        <f t="shared" si="3"/>
        <v>41571.740000000005</v>
      </c>
      <c r="Z27" s="25">
        <f t="shared" si="0"/>
        <v>1.8358662103910892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12</v>
      </c>
      <c r="V28" s="22"/>
      <c r="W28" s="22"/>
      <c r="X28" s="23"/>
      <c r="Y28" s="20">
        <f t="shared" si="3"/>
        <v>71265.84</v>
      </c>
      <c r="Z28" s="25">
        <f t="shared" si="0"/>
        <v>3.1471992178132955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>
        <v>4</v>
      </c>
      <c r="V29" s="38"/>
      <c r="W29" s="38"/>
      <c r="X29" s="41"/>
      <c r="Y29" s="39">
        <f t="shared" si="3"/>
        <v>23755.279999999999</v>
      </c>
      <c r="Z29" s="42">
        <f>Y29*100/$Y$31</f>
        <v>1.049066405937765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1326073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0</v>
      </c>
      <c r="Y30" s="39">
        <f>SUM(Y6:Y29)</f>
        <v>2264421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0</v>
      </c>
      <c r="D31" s="47">
        <v>0</v>
      </c>
      <c r="E31" s="47">
        <v>125858</v>
      </c>
      <c r="F31" s="47">
        <v>4</v>
      </c>
      <c r="G31" s="47">
        <v>1041137</v>
      </c>
      <c r="H31" s="47">
        <v>0</v>
      </c>
      <c r="I31" s="47">
        <v>0</v>
      </c>
      <c r="J31" s="47">
        <v>77001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82073</v>
      </c>
      <c r="R31" s="47">
        <v>0</v>
      </c>
      <c r="S31" s="48">
        <f>SUM(C31:R31)</f>
        <v>1326073</v>
      </c>
      <c r="T31" s="48">
        <f>S31*100/$S$31</f>
        <v>100</v>
      </c>
      <c r="U31" s="47">
        <v>593882</v>
      </c>
      <c r="V31" s="47">
        <v>344466</v>
      </c>
      <c r="W31" s="47">
        <v>0</v>
      </c>
      <c r="X31" s="47">
        <v>0</v>
      </c>
      <c r="Y31" s="48">
        <f>+S31+U31+V31+W31+X31</f>
        <v>2264421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 t="s">
        <v>227</v>
      </c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  <c r="G39" s="10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B43" s="62"/>
      <c r="C43" s="63"/>
      <c r="F43" s="64"/>
      <c r="G43" s="64"/>
    </row>
    <row r="44" spans="1:19" x14ac:dyDescent="0.25">
      <c r="A44" s="62"/>
      <c r="B44" s="62"/>
      <c r="C44" s="63"/>
    </row>
    <row r="45" spans="1:19" x14ac:dyDescent="0.25">
      <c r="A45" s="62"/>
      <c r="B45" s="62"/>
    </row>
    <row r="46" spans="1:19" x14ac:dyDescent="0.25">
      <c r="A46" s="62"/>
      <c r="B46" s="62"/>
      <c r="C46" s="63"/>
    </row>
    <row r="47" spans="1:19" x14ac:dyDescent="0.25">
      <c r="A47" s="62"/>
      <c r="B47" s="62"/>
      <c r="C47" s="63"/>
    </row>
  </sheetData>
  <mergeCells count="3">
    <mergeCell ref="A1:Z2"/>
    <mergeCell ref="S4:T4"/>
    <mergeCell ref="Y4:Z4"/>
  </mergeCells>
  <pageMargins left="0.26" right="0.23" top="0.74803149606299213" bottom="0.74803149606299213" header="0.31496062992125984" footer="0.31496062992125984"/>
  <pageSetup paperSize="9" scale="55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C51"/>
  <sheetViews>
    <sheetView zoomScale="90" zoomScaleNormal="90" workbookViewId="0">
      <selection activeCell="A3" sqref="A3"/>
    </sheetView>
  </sheetViews>
  <sheetFormatPr defaultRowHeight="15" x14ac:dyDescent="0.25"/>
  <cols>
    <col min="1" max="1" width="34" customWidth="1"/>
    <col min="2" max="2" width="6.85546875" customWidth="1"/>
    <col min="3" max="3" width="8" customWidth="1"/>
    <col min="4" max="4" width="12.7109375" customWidth="1"/>
    <col min="5" max="5" width="12.5703125" customWidth="1"/>
    <col min="6" max="6" width="9.28515625" customWidth="1"/>
    <col min="7" max="7" width="10.7109375" bestFit="1" customWidth="1"/>
    <col min="8" max="8" width="8.28515625" bestFit="1" customWidth="1"/>
    <col min="9" max="9" width="11.42578125" customWidth="1"/>
    <col min="10" max="10" width="9.28515625" customWidth="1"/>
    <col min="11" max="11" width="5.28515625" customWidth="1"/>
    <col min="12" max="12" width="5" customWidth="1"/>
    <col min="13" max="13" width="6" customWidth="1"/>
    <col min="14" max="14" width="8.140625" customWidth="1"/>
    <col min="15" max="15" width="9.7109375" customWidth="1"/>
    <col min="16" max="16" width="7.28515625" customWidth="1"/>
    <col min="17" max="17" width="9.140625" bestFit="1" customWidth="1"/>
    <col min="18" max="18" width="6.7109375" customWidth="1"/>
    <col min="19" max="19" width="10.7109375" customWidth="1"/>
    <col min="20" max="20" width="7.42578125" customWidth="1"/>
    <col min="21" max="22" width="10.5703125" customWidth="1"/>
    <col min="23" max="23" width="8.7109375" customWidth="1"/>
    <col min="24" max="24" width="13.140625" customWidth="1"/>
    <col min="25" max="25" width="10.28515625" customWidth="1"/>
    <col min="26" max="26" width="7" customWidth="1"/>
    <col min="27" max="27" width="1.85546875" customWidth="1"/>
  </cols>
  <sheetData>
    <row r="1" spans="1:29" ht="15" customHeight="1" x14ac:dyDescent="0.25">
      <c r="A1" s="325" t="s">
        <v>140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57" t="s">
        <v>1</v>
      </c>
      <c r="C4" s="157" t="s">
        <v>2</v>
      </c>
      <c r="D4" s="5" t="s">
        <v>3</v>
      </c>
      <c r="E4" s="5" t="s">
        <v>4</v>
      </c>
      <c r="F4" s="5" t="s">
        <v>102</v>
      </c>
      <c r="G4" s="158" t="s">
        <v>6</v>
      </c>
      <c r="H4" s="158" t="s">
        <v>7</v>
      </c>
      <c r="I4" s="5" t="s">
        <v>101</v>
      </c>
      <c r="J4" s="158" t="s">
        <v>9</v>
      </c>
      <c r="K4" s="158" t="s">
        <v>10</v>
      </c>
      <c r="L4" s="158" t="s">
        <v>11</v>
      </c>
      <c r="M4" s="158" t="s">
        <v>12</v>
      </c>
      <c r="N4" s="158" t="s">
        <v>13</v>
      </c>
      <c r="O4" s="5" t="s">
        <v>14</v>
      </c>
      <c r="P4" s="158" t="s">
        <v>15</v>
      </c>
      <c r="Q4" s="158" t="s">
        <v>16</v>
      </c>
      <c r="R4" s="158" t="s">
        <v>17</v>
      </c>
      <c r="S4" s="327" t="s">
        <v>18</v>
      </c>
      <c r="T4" s="328"/>
      <c r="U4" s="157" t="s">
        <v>19</v>
      </c>
      <c r="V4" s="158" t="s">
        <v>20</v>
      </c>
      <c r="W4" s="7" t="s">
        <v>21</v>
      </c>
      <c r="X4" s="7" t="s">
        <v>22</v>
      </c>
      <c r="Y4" s="329" t="s">
        <v>23</v>
      </c>
      <c r="Z4" s="330"/>
      <c r="AA4" s="154"/>
      <c r="AB4" s="154"/>
      <c r="AC4" s="154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55" t="s">
        <v>25</v>
      </c>
      <c r="U5" s="155" t="s">
        <v>25</v>
      </c>
      <c r="V5" s="155" t="s">
        <v>25</v>
      </c>
      <c r="W5" s="155" t="s">
        <v>25</v>
      </c>
      <c r="X5" s="15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10</v>
      </c>
      <c r="G6" s="19"/>
      <c r="H6" s="19">
        <v>15</v>
      </c>
      <c r="I6" s="19"/>
      <c r="J6" s="19">
        <v>10</v>
      </c>
      <c r="K6" s="19"/>
      <c r="L6" s="19"/>
      <c r="M6" s="19"/>
      <c r="N6" s="19"/>
      <c r="O6" s="19"/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53874.700000000004</v>
      </c>
      <c r="T6" s="21">
        <f>S6*100/$S$31</f>
        <v>2.3498405370794906</v>
      </c>
      <c r="U6" s="22"/>
      <c r="V6" s="22"/>
      <c r="W6" s="22"/>
      <c r="X6" s="23"/>
      <c r="Y6" s="20">
        <f>U6/100*$U$31+V6/100*$V$31+W6/100*$W$31+X6/100*$X$31+S6</f>
        <v>53874.700000000004</v>
      </c>
      <c r="Z6" s="25">
        <f t="shared" ref="Z6:Z28" si="0">Y6*100/$Y$31</f>
        <v>1.0377064662137265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>S8*100/$S$31</f>
        <v>0</v>
      </c>
      <c r="U8" s="22"/>
      <c r="V8" s="22"/>
      <c r="W8" s="22"/>
      <c r="X8" s="23"/>
      <c r="Y8" s="20">
        <f t="shared" si="2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3"/>
        <v>0</v>
      </c>
      <c r="U15" s="22"/>
      <c r="V15" s="33"/>
      <c r="W15" s="22"/>
      <c r="X15" s="23"/>
      <c r="Y15" s="20">
        <f t="shared" si="2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>
        <v>100</v>
      </c>
      <c r="R16" s="22"/>
      <c r="S16" s="20">
        <f t="shared" si="1"/>
        <v>1759250</v>
      </c>
      <c r="T16" s="21">
        <f t="shared" si="3"/>
        <v>76.732807140589074</v>
      </c>
      <c r="U16" s="22"/>
      <c r="V16" s="33"/>
      <c r="W16" s="22"/>
      <c r="X16" s="23"/>
      <c r="Y16" s="20">
        <f t="shared" si="2"/>
        <v>1759250</v>
      </c>
      <c r="Z16" s="25">
        <f t="shared" si="0"/>
        <v>33.88575900536798</v>
      </c>
    </row>
    <row r="17" spans="1:27" x14ac:dyDescent="0.25">
      <c r="A17" s="43" t="s">
        <v>37</v>
      </c>
      <c r="B17" s="30" t="s">
        <v>25</v>
      </c>
      <c r="C17" s="22">
        <v>100</v>
      </c>
      <c r="D17" s="22"/>
      <c r="E17" s="22"/>
      <c r="F17" s="22">
        <v>90</v>
      </c>
      <c r="G17" s="22"/>
      <c r="H17" s="22">
        <v>85</v>
      </c>
      <c r="I17" s="22"/>
      <c r="J17" s="22">
        <v>90</v>
      </c>
      <c r="K17" s="22"/>
      <c r="L17" s="22"/>
      <c r="M17" s="22"/>
      <c r="N17" s="22"/>
      <c r="O17" s="22"/>
      <c r="P17" s="22"/>
      <c r="Q17" s="22"/>
      <c r="R17" s="22"/>
      <c r="S17" s="20">
        <f t="shared" si="1"/>
        <v>479571.30000000005</v>
      </c>
      <c r="T17" s="21">
        <f t="shared" si="3"/>
        <v>20.917352322331443</v>
      </c>
      <c r="U17" s="33">
        <v>5</v>
      </c>
      <c r="V17" s="22">
        <v>100</v>
      </c>
      <c r="W17" s="22"/>
      <c r="X17" s="23"/>
      <c r="Y17" s="20">
        <f t="shared" si="2"/>
        <v>2253646.5499999998</v>
      </c>
      <c r="Z17" s="25">
        <f t="shared" si="0"/>
        <v>43.40856835388886</v>
      </c>
    </row>
    <row r="18" spans="1:27" x14ac:dyDescent="0.25">
      <c r="A18" s="35" t="s">
        <v>38</v>
      </c>
      <c r="B18" s="159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27.9</v>
      </c>
      <c r="V19" s="22"/>
      <c r="W19" s="22"/>
      <c r="X19" s="23"/>
      <c r="Y19" s="20">
        <f t="shared" si="2"/>
        <v>330376.45499999996</v>
      </c>
      <c r="Z19" s="25">
        <f t="shared" si="0"/>
        <v>6.3635395396775891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1.8</v>
      </c>
      <c r="V20" s="22"/>
      <c r="W20" s="22"/>
      <c r="X20" s="23"/>
      <c r="Y20" s="20">
        <f t="shared" si="2"/>
        <v>21314.610000000004</v>
      </c>
      <c r="Z20" s="25">
        <f t="shared" si="0"/>
        <v>0.41055093804371556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9.1</v>
      </c>
      <c r="V21" s="22"/>
      <c r="W21" s="22"/>
      <c r="X21" s="23"/>
      <c r="Y21" s="20">
        <f t="shared" si="2"/>
        <v>107757.19499999999</v>
      </c>
      <c r="Z21" s="25">
        <f t="shared" si="0"/>
        <v>2.0755630756654506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1.2</v>
      </c>
      <c r="V22" s="22"/>
      <c r="W22" s="22"/>
      <c r="X22" s="23"/>
      <c r="Y22" s="20">
        <f t="shared" si="2"/>
        <v>14209.74</v>
      </c>
      <c r="Z22" s="25">
        <f t="shared" si="0"/>
        <v>0.27370062536247697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19.100000000000001</v>
      </c>
      <c r="V23" s="22"/>
      <c r="W23" s="22"/>
      <c r="X23" s="23"/>
      <c r="Y23" s="20">
        <f t="shared" si="2"/>
        <v>226171.69500000001</v>
      </c>
      <c r="Z23" s="25">
        <f t="shared" si="0"/>
        <v>4.3564016203527585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/>
      <c r="V24" s="22"/>
      <c r="W24" s="22"/>
      <c r="X24" s="23"/>
      <c r="Y24" s="20">
        <f t="shared" si="2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/>
      <c r="V25" s="22"/>
      <c r="W25" s="22"/>
      <c r="X25" s="23"/>
      <c r="Y25" s="20">
        <f t="shared" si="2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/>
      <c r="V27" s="22"/>
      <c r="W27" s="22"/>
      <c r="X27" s="23"/>
      <c r="Y27" s="20">
        <f t="shared" si="2"/>
        <v>0</v>
      </c>
      <c r="Z27" s="25">
        <f t="shared" si="0"/>
        <v>0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30.2</v>
      </c>
      <c r="V28" s="22"/>
      <c r="W28" s="22"/>
      <c r="X28" s="23"/>
      <c r="Y28" s="20">
        <f t="shared" si="2"/>
        <v>357611.79</v>
      </c>
      <c r="Z28" s="25">
        <f t="shared" si="0"/>
        <v>6.8881324049556705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137">
        <v>5.7</v>
      </c>
      <c r="V29" s="38"/>
      <c r="W29" s="38"/>
      <c r="X29" s="41"/>
      <c r="Y29" s="39">
        <f t="shared" si="2"/>
        <v>67496.264999999999</v>
      </c>
      <c r="Z29" s="42">
        <f>Y29*100/$Y$31</f>
        <v>1.3000779704717658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2292696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5191709.0000000009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13</v>
      </c>
      <c r="D31" s="47">
        <v>0</v>
      </c>
      <c r="E31" s="47">
        <v>324655</v>
      </c>
      <c r="F31" s="47">
        <v>139467</v>
      </c>
      <c r="G31" s="47">
        <v>1324744</v>
      </c>
      <c r="H31" s="47">
        <v>10628</v>
      </c>
      <c r="I31" s="47">
        <v>0</v>
      </c>
      <c r="J31" s="47">
        <v>383338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109851</v>
      </c>
      <c r="R31" s="47">
        <v>0</v>
      </c>
      <c r="S31" s="48">
        <f>SUM(C31:R31)</f>
        <v>2292696</v>
      </c>
      <c r="T31" s="48">
        <f>S31*100/$S$31</f>
        <v>100</v>
      </c>
      <c r="U31" s="47">
        <v>1184145</v>
      </c>
      <c r="V31" s="47">
        <v>1714868</v>
      </c>
      <c r="W31" s="47">
        <v>0</v>
      </c>
      <c r="X31" s="47">
        <v>0</v>
      </c>
      <c r="Y31" s="48">
        <f>+S31+U31+V31+W31+X31</f>
        <v>5191709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5" x14ac:dyDescent="0.25">
      <c r="A33" s="55"/>
      <c r="C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  <c r="Y34" s="99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 t="s">
        <v>141</v>
      </c>
      <c r="C37" s="38"/>
      <c r="D37" s="38"/>
      <c r="E37" s="38"/>
      <c r="F37" s="41"/>
      <c r="G37" s="10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180" t="s">
        <v>25</v>
      </c>
      <c r="E42" s="62"/>
    </row>
    <row r="43" spans="1:25" x14ac:dyDescent="0.25">
      <c r="A43" s="62" t="s">
        <v>142</v>
      </c>
      <c r="B43" s="62"/>
      <c r="C43" s="63">
        <v>372214</v>
      </c>
      <c r="D43" s="64">
        <f>+C43/$C$51*100</f>
        <v>7.1693898215829037</v>
      </c>
      <c r="F43" s="64"/>
      <c r="G43" s="64"/>
    </row>
    <row r="44" spans="1:25" x14ac:dyDescent="0.25">
      <c r="A44" s="62" t="s">
        <v>143</v>
      </c>
      <c r="B44" s="62"/>
      <c r="C44" s="63">
        <v>690908</v>
      </c>
      <c r="D44" s="64">
        <f t="shared" ref="D44:D50" si="7">+C44/$C$51*100</f>
        <v>13.307905621094857</v>
      </c>
      <c r="F44" s="79"/>
    </row>
    <row r="45" spans="1:25" x14ac:dyDescent="0.25">
      <c r="A45" s="62" t="s">
        <v>144</v>
      </c>
      <c r="B45" s="62"/>
      <c r="C45" s="63">
        <v>652607</v>
      </c>
      <c r="D45" s="64">
        <f t="shared" si="7"/>
        <v>12.570171952945763</v>
      </c>
    </row>
    <row r="46" spans="1:25" x14ac:dyDescent="0.25">
      <c r="A46" s="62" t="s">
        <v>145</v>
      </c>
      <c r="B46" s="62"/>
      <c r="C46" s="63">
        <v>2007776</v>
      </c>
      <c r="D46" s="64">
        <f t="shared" si="7"/>
        <v>38.672722730521784</v>
      </c>
    </row>
    <row r="47" spans="1:25" x14ac:dyDescent="0.25">
      <c r="A47" s="62" t="s">
        <v>146</v>
      </c>
      <c r="B47" s="62"/>
      <c r="C47" s="63">
        <v>141725</v>
      </c>
      <c r="D47" s="64">
        <f t="shared" si="7"/>
        <v>2.729832226793826</v>
      </c>
    </row>
    <row r="48" spans="1:25" x14ac:dyDescent="0.25">
      <c r="A48" s="62" t="s">
        <v>147</v>
      </c>
      <c r="B48" s="62"/>
      <c r="C48" s="63">
        <v>678960</v>
      </c>
      <c r="D48" s="64">
        <f t="shared" si="7"/>
        <v>13.077769544568255</v>
      </c>
    </row>
    <row r="49" spans="1:4" x14ac:dyDescent="0.25">
      <c r="A49" s="62" t="s">
        <v>148</v>
      </c>
      <c r="B49" s="62"/>
      <c r="C49" s="63">
        <v>459019</v>
      </c>
      <c r="D49" s="64">
        <f t="shared" si="7"/>
        <v>8.8413819644429363</v>
      </c>
    </row>
    <row r="50" spans="1:4" x14ac:dyDescent="0.25">
      <c r="A50" s="62" t="s">
        <v>149</v>
      </c>
      <c r="B50" s="62"/>
      <c r="C50" s="63">
        <v>188502</v>
      </c>
      <c r="D50" s="64">
        <f t="shared" si="7"/>
        <v>3.630826138049672</v>
      </c>
    </row>
    <row r="51" spans="1:4" x14ac:dyDescent="0.25">
      <c r="C51">
        <f>SUM(C43:C50)</f>
        <v>5191711</v>
      </c>
    </row>
  </sheetData>
  <mergeCells count="3">
    <mergeCell ref="A1:Z2"/>
    <mergeCell ref="S4:T4"/>
    <mergeCell ref="Y4:Z4"/>
  </mergeCells>
  <pageMargins left="0.24" right="0.18" top="0.74803149606299213" bottom="0.74803149606299213" header="0.31496062992125984" footer="0.31496062992125984"/>
  <pageSetup paperSize="9" scale="55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C50"/>
  <sheetViews>
    <sheetView zoomScale="90" zoomScaleNormal="90" workbookViewId="0">
      <selection activeCell="A3" sqref="A3"/>
    </sheetView>
  </sheetViews>
  <sheetFormatPr defaultRowHeight="15" x14ac:dyDescent="0.25"/>
  <cols>
    <col min="1" max="1" width="34.28515625" customWidth="1"/>
    <col min="2" max="2" width="7.28515625" customWidth="1"/>
    <col min="3" max="3" width="7.85546875" customWidth="1"/>
    <col min="4" max="4" width="12.7109375" customWidth="1"/>
    <col min="5" max="5" width="12.85546875" customWidth="1"/>
    <col min="6" max="6" width="8.85546875" customWidth="1"/>
    <col min="7" max="7" width="10.42578125" customWidth="1"/>
    <col min="8" max="8" width="8" customWidth="1"/>
    <col min="9" max="9" width="11.140625" customWidth="1"/>
    <col min="10" max="10" width="9.140625" bestFit="1" customWidth="1"/>
    <col min="11" max="11" width="6.5703125" customWidth="1"/>
    <col min="12" max="12" width="7.5703125" customWidth="1"/>
    <col min="13" max="13" width="6" customWidth="1"/>
    <col min="14" max="14" width="7.7109375" customWidth="1"/>
    <col min="15" max="15" width="9.140625" customWidth="1"/>
    <col min="16" max="16" width="7" customWidth="1"/>
    <col min="17" max="17" width="8.85546875" customWidth="1"/>
    <col min="18" max="18" width="7.28515625" customWidth="1"/>
    <col min="19" max="19" width="10.28515625" customWidth="1"/>
    <col min="20" max="20" width="6.42578125" customWidth="1"/>
    <col min="21" max="21" width="9" customWidth="1"/>
    <col min="22" max="22" width="11.140625" bestFit="1" customWidth="1"/>
    <col min="23" max="23" width="8.85546875" customWidth="1"/>
    <col min="24" max="24" width="13" customWidth="1"/>
    <col min="25" max="25" width="10" customWidth="1"/>
    <col min="26" max="26" width="6.5703125" customWidth="1"/>
    <col min="27" max="27" width="1.85546875" customWidth="1"/>
  </cols>
  <sheetData>
    <row r="1" spans="1:29" ht="15" customHeight="1" x14ac:dyDescent="0.25">
      <c r="A1" s="325" t="s">
        <v>133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157" t="s">
        <v>1</v>
      </c>
      <c r="C4" s="157" t="s">
        <v>2</v>
      </c>
      <c r="D4" s="5" t="s">
        <v>3</v>
      </c>
      <c r="E4" s="5" t="s">
        <v>79</v>
      </c>
      <c r="F4" s="5" t="s">
        <v>102</v>
      </c>
      <c r="G4" s="158" t="s">
        <v>6</v>
      </c>
      <c r="H4" s="158" t="s">
        <v>7</v>
      </c>
      <c r="I4" s="5" t="s">
        <v>101</v>
      </c>
      <c r="J4" s="158" t="s">
        <v>9</v>
      </c>
      <c r="K4" s="158" t="s">
        <v>10</v>
      </c>
      <c r="L4" s="158" t="s">
        <v>11</v>
      </c>
      <c r="M4" s="158" t="s">
        <v>12</v>
      </c>
      <c r="N4" s="158" t="s">
        <v>13</v>
      </c>
      <c r="O4" s="5" t="s">
        <v>14</v>
      </c>
      <c r="P4" s="158" t="s">
        <v>15</v>
      </c>
      <c r="Q4" s="158" t="s">
        <v>16</v>
      </c>
      <c r="R4" s="158" t="s">
        <v>17</v>
      </c>
      <c r="S4" s="327" t="s">
        <v>18</v>
      </c>
      <c r="T4" s="328"/>
      <c r="U4" s="157" t="s">
        <v>19</v>
      </c>
      <c r="V4" s="158" t="s">
        <v>20</v>
      </c>
      <c r="W4" s="7" t="s">
        <v>21</v>
      </c>
      <c r="X4" s="7" t="s">
        <v>22</v>
      </c>
      <c r="Y4" s="329" t="s">
        <v>23</v>
      </c>
      <c r="Z4" s="330"/>
      <c r="AA4" s="154"/>
      <c r="AB4" s="154"/>
      <c r="AC4" s="154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155" t="s">
        <v>25</v>
      </c>
      <c r="U5" s="155" t="s">
        <v>25</v>
      </c>
      <c r="V5" s="155" t="s">
        <v>25</v>
      </c>
      <c r="W5" s="155" t="s">
        <v>25</v>
      </c>
      <c r="X5" s="15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10</v>
      </c>
      <c r="D6" s="19"/>
      <c r="E6" s="19"/>
      <c r="F6" s="19">
        <v>10</v>
      </c>
      <c r="G6" s="19"/>
      <c r="H6" s="19">
        <v>15</v>
      </c>
      <c r="I6" s="19"/>
      <c r="J6" s="19">
        <v>10</v>
      </c>
      <c r="K6" s="19"/>
      <c r="L6" s="19"/>
      <c r="M6" s="19"/>
      <c r="N6" s="19"/>
      <c r="O6" s="19"/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37453.85</v>
      </c>
      <c r="T6" s="21">
        <f>S6*100/$S$31</f>
        <v>1.1655509750877808</v>
      </c>
      <c r="U6" s="22"/>
      <c r="V6" s="22"/>
      <c r="W6" s="22"/>
      <c r="X6" s="23"/>
      <c r="Y6" s="20">
        <f>U6/100*$U$31+V6/100*$V$31+W6/100*$W$31+X6/100*$X$31+S6</f>
        <v>37453.85</v>
      </c>
      <c r="Z6" s="25">
        <f t="shared" ref="Z6:Z28" si="0">Y6*100/$Y$31</f>
        <v>0.71754299451159986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>S7*100/$S$31</f>
        <v>0</v>
      </c>
      <c r="U7" s="22"/>
      <c r="V7" s="22"/>
      <c r="W7" s="22"/>
      <c r="X7" s="23"/>
      <c r="Y7" s="20">
        <f t="shared" ref="Y7:Y29" si="2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>
        <v>50</v>
      </c>
      <c r="D8" s="22"/>
      <c r="E8" s="22"/>
      <c r="F8" s="22"/>
      <c r="G8" s="22"/>
      <c r="H8" s="22"/>
      <c r="I8" s="22"/>
      <c r="J8" s="22">
        <v>5</v>
      </c>
      <c r="K8" s="22"/>
      <c r="L8" s="22"/>
      <c r="M8" s="22"/>
      <c r="N8" s="22"/>
      <c r="O8" s="22"/>
      <c r="P8" s="22"/>
      <c r="Q8" s="22"/>
      <c r="R8" s="22"/>
      <c r="S8" s="20">
        <f t="shared" si="1"/>
        <v>20216.55</v>
      </c>
      <c r="T8" s="21">
        <f>S8*100/$S$31</f>
        <v>0.62913210699062649</v>
      </c>
      <c r="U8" s="22"/>
      <c r="V8" s="22"/>
      <c r="W8" s="22"/>
      <c r="X8" s="23"/>
      <c r="Y8" s="20">
        <f t="shared" si="2"/>
        <v>20216.55</v>
      </c>
      <c r="Z8" s="25">
        <f t="shared" si="0"/>
        <v>0.38730981796780528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159" t="s">
        <v>25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3"/>
        <v>0</v>
      </c>
      <c r="U15" s="22"/>
      <c r="V15" s="33"/>
      <c r="W15" s="22"/>
      <c r="X15" s="23"/>
      <c r="Y15" s="20">
        <f t="shared" si="2"/>
        <v>0</v>
      </c>
      <c r="Z15" s="25">
        <f t="shared" si="0"/>
        <v>0</v>
      </c>
    </row>
    <row r="16" spans="1:29" x14ac:dyDescent="0.25">
      <c r="A16" s="29" t="s">
        <v>36</v>
      </c>
      <c r="B16" s="72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>
        <v>100</v>
      </c>
      <c r="R16" s="22"/>
      <c r="S16" s="20">
        <f t="shared" si="1"/>
        <v>2839901</v>
      </c>
      <c r="T16" s="21">
        <f t="shared" si="3"/>
        <v>88.376745773872742</v>
      </c>
      <c r="U16" s="22"/>
      <c r="V16" s="33"/>
      <c r="W16" s="22"/>
      <c r="X16" s="23"/>
      <c r="Y16" s="20">
        <f t="shared" si="2"/>
        <v>2839901</v>
      </c>
      <c r="Z16" s="25">
        <f>Y16*100/$Y$31</f>
        <v>54.40698533412418</v>
      </c>
    </row>
    <row r="17" spans="1:27" x14ac:dyDescent="0.25">
      <c r="A17" s="43" t="s">
        <v>37</v>
      </c>
      <c r="B17" s="30" t="s">
        <v>25</v>
      </c>
      <c r="C17" s="22">
        <v>40</v>
      </c>
      <c r="D17" s="22"/>
      <c r="E17" s="22"/>
      <c r="F17" s="22">
        <v>90</v>
      </c>
      <c r="G17" s="22"/>
      <c r="H17" s="22">
        <v>85</v>
      </c>
      <c r="I17" s="22"/>
      <c r="J17" s="22">
        <v>85</v>
      </c>
      <c r="K17" s="22"/>
      <c r="L17" s="22"/>
      <c r="M17" s="22"/>
      <c r="N17" s="22"/>
      <c r="O17" s="22"/>
      <c r="P17" s="22"/>
      <c r="Q17" s="22"/>
      <c r="R17" s="22"/>
      <c r="S17" s="20">
        <f t="shared" si="1"/>
        <v>315831.59999999998</v>
      </c>
      <c r="T17" s="21">
        <f t="shared" si="3"/>
        <v>9.8285711440488459</v>
      </c>
      <c r="U17" s="134">
        <v>4.0954104990567686</v>
      </c>
      <c r="V17" s="22">
        <v>100</v>
      </c>
      <c r="W17" s="22"/>
      <c r="X17" s="23"/>
      <c r="Y17" s="20">
        <f t="shared" si="2"/>
        <v>1846148.8833333333</v>
      </c>
      <c r="Z17" s="25">
        <f t="shared" si="0"/>
        <v>35.368625603542661</v>
      </c>
    </row>
    <row r="18" spans="1:27" x14ac:dyDescent="0.25">
      <c r="A18" s="35" t="s">
        <v>38</v>
      </c>
      <c r="B18" s="159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134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134">
        <v>29.471338152614081</v>
      </c>
      <c r="V19" s="22"/>
      <c r="W19" s="22"/>
      <c r="X19" s="23"/>
      <c r="Y19" s="20">
        <f t="shared" si="2"/>
        <v>146278.9239268293</v>
      </c>
      <c r="Z19" s="25">
        <f t="shared" si="0"/>
        <v>2.8024199677307302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134">
        <v>2.013669433339329</v>
      </c>
      <c r="V20" s="22"/>
      <c r="W20" s="22"/>
      <c r="X20" s="23"/>
      <c r="Y20" s="20">
        <f t="shared" si="2"/>
        <v>9994.7072755194258</v>
      </c>
      <c r="Z20" s="25">
        <f t="shared" si="0"/>
        <v>0.19147917204087384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134">
        <v>7.4263443716229407</v>
      </c>
      <c r="V21" s="22"/>
      <c r="W21" s="22"/>
      <c r="X21" s="23"/>
      <c r="Y21" s="20">
        <f t="shared" si="2"/>
        <v>36860.140444444456</v>
      </c>
      <c r="Z21" s="25">
        <f t="shared" si="0"/>
        <v>0.70616867298354657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134">
        <v>1.4731909322089807</v>
      </c>
      <c r="V22" s="22"/>
      <c r="W22" s="22"/>
      <c r="X22" s="23"/>
      <c r="Y22" s="20">
        <f t="shared" si="2"/>
        <v>7312.0800686540215</v>
      </c>
      <c r="Z22" s="25">
        <f t="shared" si="0"/>
        <v>0.14008524700586431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134">
        <v>21.064987379846148</v>
      </c>
      <c r="V23" s="22"/>
      <c r="W23" s="22"/>
      <c r="X23" s="23"/>
      <c r="Y23" s="20">
        <f t="shared" si="2"/>
        <v>104554.59031074977</v>
      </c>
      <c r="Z23" s="25">
        <f t="shared" si="0"/>
        <v>2.0030628045316807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134">
        <v>2.6966082683944563</v>
      </c>
      <c r="V24" s="22"/>
      <c r="W24" s="22"/>
      <c r="X24" s="23"/>
      <c r="Y24" s="20">
        <f t="shared" si="2"/>
        <v>13384.426377597096</v>
      </c>
      <c r="Z24" s="25">
        <f t="shared" si="0"/>
        <v>0.25641960393393642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134">
        <v>0.98058482487071252</v>
      </c>
      <c r="V25" s="22"/>
      <c r="W25" s="22"/>
      <c r="X25" s="23"/>
      <c r="Y25" s="20">
        <f t="shared" si="2"/>
        <v>4867.0641373080407</v>
      </c>
      <c r="Z25" s="25">
        <f t="shared" si="0"/>
        <v>9.3243492339613349E-2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134"/>
      <c r="V26" s="22"/>
      <c r="W26" s="22"/>
      <c r="X26" s="23"/>
      <c r="Y26" s="20">
        <f t="shared" si="2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134">
        <v>0.78446785989656986</v>
      </c>
      <c r="V27" s="22"/>
      <c r="W27" s="22"/>
      <c r="X27" s="23"/>
      <c r="Y27" s="20">
        <f t="shared" si="2"/>
        <v>3893.651309846432</v>
      </c>
      <c r="Z27" s="25">
        <f t="shared" si="0"/>
        <v>7.4594793871690671E-2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134">
        <v>25.324630309225306</v>
      </c>
      <c r="V28" s="22"/>
      <c r="W28" s="22"/>
      <c r="X28" s="23"/>
      <c r="Y28" s="20">
        <f t="shared" si="2"/>
        <v>125697.02981571815</v>
      </c>
      <c r="Z28" s="25">
        <f t="shared" si="0"/>
        <v>2.4081108664445514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178">
        <v>4.6687679689247155</v>
      </c>
      <c r="V29" s="38"/>
      <c r="W29" s="38"/>
      <c r="X29" s="41"/>
      <c r="Y29" s="39">
        <f t="shared" si="2"/>
        <v>23173.102999999999</v>
      </c>
      <c r="Z29" s="42">
        <f>Y29*100/$Y$31</f>
        <v>0.4439516289712736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 t="shared" si="5"/>
        <v>0</v>
      </c>
      <c r="E30" s="44">
        <f t="shared" si="5"/>
        <v>100</v>
      </c>
      <c r="F30" s="44">
        <f t="shared" si="5"/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3213403</v>
      </c>
      <c r="T30" s="20">
        <f>+SUM(T6:T29)</f>
        <v>100</v>
      </c>
      <c r="U30" s="44">
        <f>SUM(U6:U29)</f>
        <v>100.00000000000001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5219736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6679</v>
      </c>
      <c r="D31" s="47">
        <v>0</v>
      </c>
      <c r="E31" s="47">
        <v>304545</v>
      </c>
      <c r="F31" s="47">
        <v>27209</v>
      </c>
      <c r="G31" s="47">
        <v>2349472</v>
      </c>
      <c r="H31" s="47">
        <v>2073</v>
      </c>
      <c r="I31" s="47">
        <v>0</v>
      </c>
      <c r="J31" s="47">
        <v>337541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185884</v>
      </c>
      <c r="R31" s="47">
        <v>0</v>
      </c>
      <c r="S31" s="48">
        <f>SUM(C31:R31)</f>
        <v>3213403</v>
      </c>
      <c r="T31" s="48">
        <f>S31*100/$S$31</f>
        <v>100</v>
      </c>
      <c r="U31" s="47">
        <v>496343</v>
      </c>
      <c r="V31" s="47">
        <v>1509990</v>
      </c>
      <c r="W31" s="47">
        <v>0</v>
      </c>
      <c r="X31" s="47">
        <v>0</v>
      </c>
      <c r="Y31" s="48">
        <f>+S31+U31+V31+W31+X31</f>
        <v>5219736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21" x14ac:dyDescent="0.25">
      <c r="A33" s="55"/>
      <c r="S33" s="1"/>
    </row>
    <row r="34" spans="1:21" x14ac:dyDescent="0.25">
      <c r="A34" s="56" t="s">
        <v>53</v>
      </c>
      <c r="B34" s="57"/>
      <c r="C34" s="57"/>
      <c r="D34" s="57"/>
      <c r="E34" s="57"/>
      <c r="F34" s="58"/>
      <c r="G34" s="10"/>
    </row>
    <row r="35" spans="1:21" x14ac:dyDescent="0.25">
      <c r="A35" s="59" t="s">
        <v>54</v>
      </c>
      <c r="B35" s="22"/>
      <c r="C35" s="22"/>
      <c r="D35" s="22"/>
      <c r="E35" s="22"/>
      <c r="F35" s="23"/>
      <c r="G35" s="10"/>
      <c r="U35" s="64"/>
    </row>
    <row r="36" spans="1:21" x14ac:dyDescent="0.25">
      <c r="A36" s="59" t="s">
        <v>56</v>
      </c>
      <c r="B36" s="22"/>
      <c r="C36" s="22"/>
      <c r="D36" s="22"/>
      <c r="E36" s="22"/>
      <c r="F36" s="23"/>
      <c r="G36" s="10"/>
    </row>
    <row r="37" spans="1:21" x14ac:dyDescent="0.25">
      <c r="A37" s="11" t="s">
        <v>57</v>
      </c>
      <c r="B37" s="38"/>
      <c r="C37" s="38"/>
      <c r="D37" s="38"/>
      <c r="E37" s="38"/>
      <c r="F37" s="41"/>
      <c r="G37" s="10"/>
      <c r="U37" s="64"/>
    </row>
    <row r="38" spans="1:21" x14ac:dyDescent="0.25">
      <c r="A38" t="s">
        <v>58</v>
      </c>
      <c r="G38" s="10"/>
    </row>
    <row r="39" spans="1:21" ht="18.75" x14ac:dyDescent="0.3">
      <c r="A39" s="60"/>
      <c r="B39" s="61"/>
    </row>
    <row r="40" spans="1:21" ht="18.75" x14ac:dyDescent="0.3">
      <c r="A40" s="60"/>
      <c r="B40" s="61"/>
    </row>
    <row r="41" spans="1:21" ht="18.75" x14ac:dyDescent="0.3">
      <c r="B41" s="61"/>
    </row>
    <row r="42" spans="1:21" x14ac:dyDescent="0.25">
      <c r="A42" s="10" t="s">
        <v>96</v>
      </c>
      <c r="C42" s="62" t="s">
        <v>97</v>
      </c>
      <c r="D42" s="62"/>
      <c r="E42" s="62"/>
    </row>
    <row r="43" spans="1:21" x14ac:dyDescent="0.25">
      <c r="A43" s="62" t="s">
        <v>134</v>
      </c>
      <c r="B43" s="62"/>
      <c r="C43" s="63">
        <v>544336</v>
      </c>
      <c r="F43" s="64"/>
      <c r="G43" s="64"/>
    </row>
    <row r="44" spans="1:21" x14ac:dyDescent="0.25">
      <c r="A44" s="62" t="s">
        <v>135</v>
      </c>
      <c r="B44" s="62"/>
      <c r="C44" s="63">
        <v>715151</v>
      </c>
    </row>
    <row r="45" spans="1:21" x14ac:dyDescent="0.25">
      <c r="A45" s="62" t="s">
        <v>136</v>
      </c>
      <c r="B45" s="62"/>
      <c r="C45" s="63">
        <v>166527</v>
      </c>
    </row>
    <row r="46" spans="1:21" x14ac:dyDescent="0.25">
      <c r="A46" s="62" t="s">
        <v>137</v>
      </c>
      <c r="B46" s="62"/>
      <c r="C46" s="63">
        <v>323279</v>
      </c>
    </row>
    <row r="47" spans="1:21" x14ac:dyDescent="0.25">
      <c r="A47" s="62" t="s">
        <v>138</v>
      </c>
      <c r="B47" s="62"/>
      <c r="C47" s="63">
        <v>3100372</v>
      </c>
    </row>
    <row r="48" spans="1:21" x14ac:dyDescent="0.25">
      <c r="A48" s="62" t="s">
        <v>139</v>
      </c>
      <c r="B48" s="62"/>
      <c r="C48" s="63">
        <v>370074</v>
      </c>
    </row>
    <row r="49" spans="1:3" x14ac:dyDescent="0.25">
      <c r="A49" s="62"/>
      <c r="B49" s="62"/>
      <c r="C49" s="63">
        <f>SUM(C43:C48)</f>
        <v>5219739</v>
      </c>
    </row>
    <row r="50" spans="1:3" x14ac:dyDescent="0.25">
      <c r="A50" s="62"/>
      <c r="B50" s="62"/>
      <c r="C50" s="63"/>
    </row>
  </sheetData>
  <mergeCells count="3">
    <mergeCell ref="A1:Z2"/>
    <mergeCell ref="S4:T4"/>
    <mergeCell ref="Y4:Z4"/>
  </mergeCells>
  <pageMargins left="0.28000000000000003" right="0.18" top="0.74803149606299213" bottom="0.74803149606299213" header="0.31496062992125984" footer="0.31496062992125984"/>
  <pageSetup paperSize="9" scale="55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C50"/>
  <sheetViews>
    <sheetView zoomScale="90" zoomScaleNormal="90" workbookViewId="0">
      <selection activeCell="A3" sqref="A3"/>
    </sheetView>
  </sheetViews>
  <sheetFormatPr defaultRowHeight="15" x14ac:dyDescent="0.25"/>
  <cols>
    <col min="1" max="1" width="34.85546875" customWidth="1"/>
    <col min="2" max="2" width="7.28515625" customWidth="1"/>
    <col min="3" max="3" width="8.5703125" customWidth="1"/>
    <col min="4" max="4" width="12.42578125" customWidth="1"/>
    <col min="5" max="5" width="13" customWidth="1"/>
    <col min="6" max="6" width="9.85546875" customWidth="1"/>
    <col min="7" max="7" width="9.140625" bestFit="1" customWidth="1"/>
    <col min="8" max="8" width="8.5703125" customWidth="1"/>
    <col min="9" max="9" width="11.28515625" bestFit="1" customWidth="1"/>
    <col min="10" max="10" width="9.140625" customWidth="1"/>
    <col min="11" max="11" width="5.42578125" bestFit="1" customWidth="1"/>
    <col min="12" max="12" width="7.85546875" customWidth="1"/>
    <col min="13" max="13" width="7.140625" customWidth="1"/>
    <col min="14" max="14" width="7.85546875" bestFit="1" customWidth="1"/>
    <col min="15" max="15" width="8.85546875" customWidth="1"/>
    <col min="16" max="16" width="6.7109375" bestFit="1" customWidth="1"/>
    <col min="17" max="17" width="8.140625" bestFit="1" customWidth="1"/>
    <col min="18" max="18" width="6.42578125" bestFit="1" customWidth="1"/>
    <col min="19" max="19" width="9.140625" customWidth="1"/>
    <col min="20" max="20" width="6.85546875" customWidth="1"/>
    <col min="21" max="21" width="9.85546875" customWidth="1"/>
    <col min="22" max="22" width="10.85546875" customWidth="1"/>
    <col min="23" max="23" width="9.140625" customWidth="1"/>
    <col min="24" max="24" width="13" customWidth="1"/>
    <col min="25" max="25" width="10.85546875" customWidth="1"/>
    <col min="26" max="26" width="6.5703125" customWidth="1"/>
    <col min="27" max="27" width="1.85546875" customWidth="1"/>
  </cols>
  <sheetData>
    <row r="1" spans="1:29" ht="15" customHeight="1" x14ac:dyDescent="0.25">
      <c r="A1" s="325" t="s">
        <v>187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customHeight="1" thickTop="1" x14ac:dyDescent="0.25">
      <c r="A4" s="3" t="s">
        <v>0</v>
      </c>
      <c r="B4" s="202" t="s">
        <v>1</v>
      </c>
      <c r="C4" s="202" t="s">
        <v>2</v>
      </c>
      <c r="D4" s="91" t="s">
        <v>3</v>
      </c>
      <c r="E4" s="91" t="s">
        <v>188</v>
      </c>
      <c r="F4" s="91" t="s">
        <v>196</v>
      </c>
      <c r="G4" s="7" t="s">
        <v>6</v>
      </c>
      <c r="H4" s="203" t="s">
        <v>7</v>
      </c>
      <c r="I4" s="5" t="s">
        <v>101</v>
      </c>
      <c r="J4" s="5" t="s">
        <v>9</v>
      </c>
      <c r="K4" s="203" t="s">
        <v>10</v>
      </c>
      <c r="L4" s="203" t="s">
        <v>11</v>
      </c>
      <c r="M4" s="203" t="s">
        <v>12</v>
      </c>
      <c r="N4" s="203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5" t="s">
        <v>20</v>
      </c>
      <c r="W4" s="91" t="s">
        <v>21</v>
      </c>
      <c r="X4" s="91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1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>
        <v>5</v>
      </c>
      <c r="D6" s="19"/>
      <c r="E6" s="19"/>
      <c r="F6" s="19">
        <v>15</v>
      </c>
      <c r="G6" s="19"/>
      <c r="H6" s="19">
        <v>25</v>
      </c>
      <c r="I6" s="19"/>
      <c r="J6" s="19">
        <v>15</v>
      </c>
      <c r="K6" s="19"/>
      <c r="L6" s="19"/>
      <c r="M6" s="19"/>
      <c r="N6" s="19"/>
      <c r="O6" s="19"/>
      <c r="P6" s="19"/>
      <c r="Q6" s="19">
        <v>20</v>
      </c>
      <c r="R6" s="19"/>
      <c r="S6" s="20">
        <f>C6/100*$C$31+D6/100*$D$31+E6/100*$E$31+F6/100*$F$31+H6/100*$H$31+G6/100*$G$31+I6/100*$I$31+J6/100*$J$31+K6/100*$K$31+L6/100*$L$31+M6/100*$M$31+N6/100*$N$31+O6/100*$O$31+P6/100*$P$31+Q6/100*$Q$31+R6/100*$R$31</f>
        <v>62375.35</v>
      </c>
      <c r="T6" s="21">
        <f>S6*100/$S$31</f>
        <v>8.8164409623329831</v>
      </c>
      <c r="U6" s="22"/>
      <c r="V6" s="22"/>
      <c r="W6" s="22"/>
      <c r="X6" s="23"/>
      <c r="Y6" s="20">
        <f>U6/100*$U$31+V6/100*$V$31+W6/100*$W$31+X6/100*$X$31+S6</f>
        <v>62375.35</v>
      </c>
      <c r="Z6" s="25">
        <f t="shared" ref="Z6:Z28" si="0">Y6*100/$Y$31</f>
        <v>2.591959506236043</v>
      </c>
    </row>
    <row r="7" spans="1:29" x14ac:dyDescent="0.25">
      <c r="A7" s="26" t="s">
        <v>27</v>
      </c>
      <c r="B7" s="18" t="s">
        <v>25</v>
      </c>
      <c r="C7" s="22">
        <v>75</v>
      </c>
      <c r="D7" s="22"/>
      <c r="E7" s="22"/>
      <c r="F7" s="22">
        <v>0</v>
      </c>
      <c r="G7" s="22"/>
      <c r="H7" s="22"/>
      <c r="I7" s="22"/>
      <c r="J7" s="22">
        <v>2</v>
      </c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C7/100*$C$31+D7/100*$D$31+E7/100*$E$31+F7/100*$F$31+H7/100*$H$31+G7/100*$G$31+I7/100*$I$31+J7/100*$J$31+K7/100*$K$31+L7/100*$L$31+M7/100*$M$31+N7/100*$N$31+O7/100*$O$31+P7/100*$P$31+Q7/100*$Q$31+R7/100*$R$31</f>
        <v>37853.199999999997</v>
      </c>
      <c r="T7" s="21">
        <f>S7*100/$S$31</f>
        <v>5.3503588041651522</v>
      </c>
      <c r="U7" s="22">
        <v>5</v>
      </c>
      <c r="V7" s="22"/>
      <c r="W7" s="22"/>
      <c r="X7" s="23"/>
      <c r="Y7" s="20">
        <f t="shared" ref="Y7:Y29" si="2">U7/100*$U$31+V7/100*$V$31+W7/100*$W$31+X7/100*$X$31+S7</f>
        <v>76702.25</v>
      </c>
      <c r="Z7" s="25">
        <f t="shared" si="0"/>
        <v>3.1873027732460582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>S8*100/$S$31</f>
        <v>0</v>
      </c>
      <c r="U8" s="22"/>
      <c r="V8" s="22"/>
      <c r="W8" s="22"/>
      <c r="X8" s="23"/>
      <c r="Y8" s="20">
        <f t="shared" si="2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ref="T9:T17" si="3">S9*100/$S$31</f>
        <v>0</v>
      </c>
      <c r="U9" s="22"/>
      <c r="V9" s="22"/>
      <c r="W9" s="22"/>
      <c r="X9" s="23"/>
      <c r="Y9" s="20">
        <f t="shared" si="2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3"/>
        <v>0</v>
      </c>
      <c r="U10" s="22"/>
      <c r="V10" s="22"/>
      <c r="W10" s="22"/>
      <c r="X10" s="23"/>
      <c r="Y10" s="20">
        <f t="shared" si="2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3"/>
        <v>0</v>
      </c>
      <c r="U11" s="22"/>
      <c r="V11" s="22"/>
      <c r="W11" s="22"/>
      <c r="X11" s="23"/>
      <c r="Y11" s="20">
        <f t="shared" si="2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3"/>
        <v>0</v>
      </c>
      <c r="U12" s="22"/>
      <c r="V12" s="22"/>
      <c r="W12" s="22"/>
      <c r="X12" s="23"/>
      <c r="Y12" s="20">
        <f t="shared" si="2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3"/>
        <v>0</v>
      </c>
      <c r="U13" s="22"/>
      <c r="V13" s="22"/>
      <c r="W13" s="22"/>
      <c r="X13" s="23"/>
      <c r="Y13" s="20">
        <f t="shared" si="2"/>
        <v>0</v>
      </c>
      <c r="Z13" s="25">
        <f t="shared" si="0"/>
        <v>0</v>
      </c>
    </row>
    <row r="14" spans="1:29" x14ac:dyDescent="0.25">
      <c r="A14" s="28" t="s">
        <v>34</v>
      </c>
      <c r="B14" s="27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3"/>
        <v>0</v>
      </c>
      <c r="U14" s="22"/>
      <c r="V14" s="22"/>
      <c r="W14" s="22"/>
      <c r="X14" s="23"/>
      <c r="Y14" s="20">
        <f t="shared" si="2"/>
        <v>0</v>
      </c>
      <c r="Z14" s="25">
        <f t="shared" si="0"/>
        <v>0</v>
      </c>
    </row>
    <row r="15" spans="1:29" x14ac:dyDescent="0.25">
      <c r="A15" s="31" t="s">
        <v>35</v>
      </c>
      <c r="B15" s="211" t="s">
        <v>25</v>
      </c>
      <c r="C15" s="22">
        <v>20</v>
      </c>
      <c r="D15" s="22">
        <v>100</v>
      </c>
      <c r="E15" s="22"/>
      <c r="F15" s="22">
        <v>15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29946.35</v>
      </c>
      <c r="T15" s="21">
        <f t="shared" si="3"/>
        <v>4.2327654564240573</v>
      </c>
      <c r="U15" s="22"/>
      <c r="V15" s="33"/>
      <c r="W15" s="22"/>
      <c r="X15" s="23"/>
      <c r="Y15" s="20">
        <f t="shared" si="2"/>
        <v>29946.35</v>
      </c>
      <c r="Z15" s="25">
        <f t="shared" si="0"/>
        <v>1.2443974512298805</v>
      </c>
    </row>
    <row r="16" spans="1:29" x14ac:dyDescent="0.25">
      <c r="A16" s="29" t="s">
        <v>36</v>
      </c>
      <c r="B16" s="212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277672</v>
      </c>
      <c r="T16" s="21">
        <f t="shared" si="3"/>
        <v>39.247536004093348</v>
      </c>
      <c r="U16" s="22"/>
      <c r="V16" s="33"/>
      <c r="W16" s="22"/>
      <c r="X16" s="23"/>
      <c r="Y16" s="20">
        <f t="shared" si="2"/>
        <v>277672</v>
      </c>
      <c r="Z16" s="25">
        <f t="shared" si="0"/>
        <v>11.538445556066211</v>
      </c>
    </row>
    <row r="17" spans="1:27" x14ac:dyDescent="0.25">
      <c r="A17" s="28" t="s">
        <v>37</v>
      </c>
      <c r="B17" s="30" t="s">
        <v>25</v>
      </c>
      <c r="C17" s="22"/>
      <c r="D17" s="22"/>
      <c r="E17" s="22"/>
      <c r="F17" s="22">
        <v>70</v>
      </c>
      <c r="G17" s="22"/>
      <c r="H17" s="22">
        <v>75</v>
      </c>
      <c r="I17" s="22"/>
      <c r="J17" s="22">
        <v>83</v>
      </c>
      <c r="K17" s="22"/>
      <c r="L17" s="22"/>
      <c r="M17" s="22"/>
      <c r="N17" s="22"/>
      <c r="O17" s="22"/>
      <c r="P17" s="22"/>
      <c r="Q17" s="22">
        <v>80</v>
      </c>
      <c r="R17" s="22"/>
      <c r="S17" s="20">
        <f t="shared" si="1"/>
        <v>299642.09999999998</v>
      </c>
      <c r="T17" s="21">
        <f t="shared" si="3"/>
        <v>42.352898772984453</v>
      </c>
      <c r="U17" s="33">
        <v>4</v>
      </c>
      <c r="V17" s="22">
        <v>100</v>
      </c>
      <c r="W17" s="22"/>
      <c r="X17" s="23"/>
      <c r="Y17" s="20">
        <f t="shared" si="2"/>
        <v>1252745.3399999999</v>
      </c>
      <c r="Z17" s="25">
        <f t="shared" si="0"/>
        <v>52.056865298646073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>S18*100/$S$31</f>
        <v>0</v>
      </c>
      <c r="U18" s="33"/>
      <c r="V18" s="22"/>
      <c r="W18" s="22"/>
      <c r="X18" s="23"/>
      <c r="Y18" s="20">
        <f t="shared" si="2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ref="T19:T29" si="4">S19*100/$S$31</f>
        <v>0</v>
      </c>
      <c r="U19" s="33">
        <v>43</v>
      </c>
      <c r="V19" s="22"/>
      <c r="W19" s="22"/>
      <c r="X19" s="23"/>
      <c r="Y19" s="20">
        <f t="shared" si="2"/>
        <v>334101.83</v>
      </c>
      <c r="Z19" s="25">
        <f t="shared" si="0"/>
        <v>13.883343569524794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4"/>
        <v>0</v>
      </c>
      <c r="U20" s="33">
        <v>6</v>
      </c>
      <c r="V20" s="22"/>
      <c r="W20" s="22"/>
      <c r="X20" s="23"/>
      <c r="Y20" s="20">
        <f t="shared" si="2"/>
        <v>46618.86</v>
      </c>
      <c r="Z20" s="25">
        <f t="shared" si="0"/>
        <v>1.9372107306313666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4"/>
        <v>0</v>
      </c>
      <c r="U21" s="33">
        <v>5</v>
      </c>
      <c r="V21" s="22"/>
      <c r="W21" s="22"/>
      <c r="X21" s="23"/>
      <c r="Y21" s="20">
        <f t="shared" si="2"/>
        <v>38849.050000000003</v>
      </c>
      <c r="Z21" s="25">
        <f t="shared" si="0"/>
        <v>1.614342275526139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4"/>
        <v>0</v>
      </c>
      <c r="U22" s="33">
        <v>3</v>
      </c>
      <c r="V22" s="22"/>
      <c r="W22" s="22"/>
      <c r="X22" s="23"/>
      <c r="Y22" s="20">
        <f t="shared" si="2"/>
        <v>23309.43</v>
      </c>
      <c r="Z22" s="25">
        <f t="shared" si="0"/>
        <v>0.96860536531568331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4"/>
        <v>0</v>
      </c>
      <c r="U23" s="33">
        <v>10</v>
      </c>
      <c r="V23" s="22"/>
      <c r="W23" s="22"/>
      <c r="X23" s="23"/>
      <c r="Y23" s="20">
        <f t="shared" si="2"/>
        <v>77698.100000000006</v>
      </c>
      <c r="Z23" s="25">
        <f t="shared" si="0"/>
        <v>3.2286845510522779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4"/>
        <v>0</v>
      </c>
      <c r="U24" s="22"/>
      <c r="V24" s="22"/>
      <c r="W24" s="22"/>
      <c r="X24" s="23"/>
      <c r="Y24" s="20">
        <f t="shared" si="2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4"/>
        <v>0</v>
      </c>
      <c r="U25" s="33">
        <v>1</v>
      </c>
      <c r="V25" s="22"/>
      <c r="W25" s="22"/>
      <c r="X25" s="23"/>
      <c r="Y25" s="20">
        <f t="shared" si="2"/>
        <v>7769.81</v>
      </c>
      <c r="Z25" s="25">
        <f t="shared" si="0"/>
        <v>0.32286845510522777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4"/>
        <v>0</v>
      </c>
      <c r="U26" s="22">
        <v>4</v>
      </c>
      <c r="V26" s="22"/>
      <c r="W26" s="22"/>
      <c r="X26" s="23"/>
      <c r="Y26" s="20">
        <f t="shared" si="2"/>
        <v>31079.24</v>
      </c>
      <c r="Z26" s="25">
        <f t="shared" si="0"/>
        <v>1.2914738204209111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4"/>
        <v>0</v>
      </c>
      <c r="U27" s="33">
        <v>6</v>
      </c>
      <c r="V27" s="22"/>
      <c r="W27" s="22"/>
      <c r="X27" s="23"/>
      <c r="Y27" s="20">
        <f t="shared" si="2"/>
        <v>46618.86</v>
      </c>
      <c r="Z27" s="25">
        <f t="shared" si="0"/>
        <v>1.9372107306313666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4"/>
        <v>0</v>
      </c>
      <c r="U28" s="33">
        <v>6</v>
      </c>
      <c r="V28" s="22"/>
      <c r="W28" s="22"/>
      <c r="X28" s="23"/>
      <c r="Y28" s="20">
        <f t="shared" si="2"/>
        <v>46618.86</v>
      </c>
      <c r="Z28" s="25">
        <f t="shared" si="0"/>
        <v>1.9372107306313666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4"/>
        <v>0</v>
      </c>
      <c r="U29" s="38">
        <v>7</v>
      </c>
      <c r="V29" s="38"/>
      <c r="W29" s="38"/>
      <c r="X29" s="41"/>
      <c r="Y29" s="39">
        <f t="shared" si="2"/>
        <v>54388.670000000006</v>
      </c>
      <c r="Z29" s="42">
        <f>Y29*100/$Y$31</f>
        <v>2.2600791857365947</v>
      </c>
    </row>
    <row r="30" spans="1:27" x14ac:dyDescent="0.25">
      <c r="A30" s="43" t="s">
        <v>50</v>
      </c>
      <c r="B30" s="30" t="s">
        <v>25</v>
      </c>
      <c r="C30" s="44">
        <f t="shared" ref="C30:R30" si="5">SUM(C6:C29)</f>
        <v>100</v>
      </c>
      <c r="D30" s="44">
        <f>SUM(D6:D29)</f>
        <v>100</v>
      </c>
      <c r="E30" s="44">
        <f>SUM(E6:E29)</f>
        <v>100</v>
      </c>
      <c r="F30" s="44">
        <f>SUM(F6:F29)</f>
        <v>100</v>
      </c>
      <c r="G30" s="44">
        <f t="shared" si="5"/>
        <v>100</v>
      </c>
      <c r="H30" s="44">
        <f t="shared" si="5"/>
        <v>100</v>
      </c>
      <c r="I30" s="44">
        <f t="shared" si="5"/>
        <v>0</v>
      </c>
      <c r="J30" s="44">
        <f t="shared" si="5"/>
        <v>100</v>
      </c>
      <c r="K30" s="44">
        <f t="shared" si="5"/>
        <v>0</v>
      </c>
      <c r="L30" s="44">
        <f t="shared" si="5"/>
        <v>0</v>
      </c>
      <c r="M30" s="44">
        <f t="shared" si="5"/>
        <v>0</v>
      </c>
      <c r="N30" s="44">
        <f t="shared" si="5"/>
        <v>0</v>
      </c>
      <c r="O30" s="44">
        <f t="shared" si="5"/>
        <v>0</v>
      </c>
      <c r="P30" s="44">
        <f t="shared" si="5"/>
        <v>0</v>
      </c>
      <c r="Q30" s="44">
        <f t="shared" si="5"/>
        <v>100</v>
      </c>
      <c r="R30" s="44">
        <f t="shared" si="5"/>
        <v>0</v>
      </c>
      <c r="S30" s="20">
        <f>+SUM(S6:S29)</f>
        <v>707489</v>
      </c>
      <c r="T30" s="20">
        <f>+SUM(T6:T29)</f>
        <v>100</v>
      </c>
      <c r="U30" s="44">
        <f>SUM(U6:U29)</f>
        <v>100</v>
      </c>
      <c r="V30" s="44">
        <f t="shared" ref="V30" si="6">SUM(V6:V29)</f>
        <v>100</v>
      </c>
      <c r="W30" s="44">
        <f>SUM(W6:W29)</f>
        <v>0</v>
      </c>
      <c r="X30" s="44">
        <f>SUM(X6:X29)</f>
        <v>0</v>
      </c>
      <c r="Y30" s="39">
        <f>SUM(Y6:Y29)</f>
        <v>2406494</v>
      </c>
      <c r="Z30" s="42">
        <f>SUM(Z6:Z29)</f>
        <v>99.999999999999986</v>
      </c>
    </row>
    <row r="31" spans="1:27" ht="15.75" thickBot="1" x14ac:dyDescent="0.3">
      <c r="A31" s="45" t="s">
        <v>51</v>
      </c>
      <c r="B31" s="46" t="s">
        <v>24</v>
      </c>
      <c r="C31" s="47">
        <v>44836</v>
      </c>
      <c r="D31" s="47">
        <v>0</v>
      </c>
      <c r="E31" s="47">
        <v>30798</v>
      </c>
      <c r="F31" s="47">
        <v>139861</v>
      </c>
      <c r="G31" s="47">
        <v>246874</v>
      </c>
      <c r="H31" s="47">
        <v>13918</v>
      </c>
      <c r="I31" s="47">
        <v>0</v>
      </c>
      <c r="J31" s="47">
        <v>211310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19892</v>
      </c>
      <c r="R31" s="47">
        <v>0</v>
      </c>
      <c r="S31" s="48">
        <f>SUM(C31:R31)</f>
        <v>707489</v>
      </c>
      <c r="T31" s="48">
        <f>S31*100/$S$31</f>
        <v>100</v>
      </c>
      <c r="U31" s="47">
        <v>776981</v>
      </c>
      <c r="V31" s="47">
        <v>922024</v>
      </c>
      <c r="W31" s="47">
        <v>0</v>
      </c>
      <c r="X31" s="47">
        <v>0</v>
      </c>
      <c r="Y31" s="48">
        <f>+S31+U31+V31+W31+X31</f>
        <v>2406494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 t="s">
        <v>96</v>
      </c>
      <c r="C42" s="62" t="s">
        <v>97</v>
      </c>
      <c r="D42" s="62"/>
      <c r="E42" s="62"/>
    </row>
    <row r="43" spans="1:19" x14ac:dyDescent="0.25">
      <c r="A43" s="62" t="s">
        <v>189</v>
      </c>
      <c r="B43" s="62"/>
      <c r="C43" s="63">
        <v>808345</v>
      </c>
      <c r="F43" s="64"/>
      <c r="G43" s="64"/>
    </row>
    <row r="44" spans="1:19" x14ac:dyDescent="0.25">
      <c r="A44" s="62" t="s">
        <v>190</v>
      </c>
      <c r="B44" s="62"/>
      <c r="C44" s="63">
        <v>83938</v>
      </c>
    </row>
    <row r="45" spans="1:19" x14ac:dyDescent="0.25">
      <c r="A45" s="62" t="s">
        <v>191</v>
      </c>
      <c r="B45" s="62"/>
      <c r="C45" s="63">
        <v>61160</v>
      </c>
    </row>
    <row r="46" spans="1:19" x14ac:dyDescent="0.25">
      <c r="A46" s="62" t="s">
        <v>192</v>
      </c>
      <c r="B46" s="62"/>
      <c r="C46" s="63">
        <v>983675</v>
      </c>
    </row>
    <row r="47" spans="1:19" x14ac:dyDescent="0.25">
      <c r="A47" s="62" t="s">
        <v>193</v>
      </c>
      <c r="B47" s="62"/>
      <c r="C47" s="63">
        <v>469379</v>
      </c>
      <c r="I47" t="s">
        <v>194</v>
      </c>
      <c r="J47">
        <f>+Y26/C47</f>
        <v>6.6213528939300659E-2</v>
      </c>
      <c r="K47" t="s">
        <v>195</v>
      </c>
      <c r="L47">
        <f>+Y7/C47</f>
        <v>0.16341218929692211</v>
      </c>
    </row>
    <row r="48" spans="1:19" x14ac:dyDescent="0.25">
      <c r="A48" s="62"/>
      <c r="B48" s="62"/>
      <c r="C48" s="63">
        <f>SUM(C43:C47)</f>
        <v>2406497</v>
      </c>
    </row>
    <row r="49" spans="1:3" x14ac:dyDescent="0.25">
      <c r="A49" s="62"/>
      <c r="B49" s="62"/>
    </row>
    <row r="50" spans="1:3" x14ac:dyDescent="0.25">
      <c r="A50" s="62"/>
      <c r="B50" s="62"/>
      <c r="C50" s="63"/>
    </row>
  </sheetData>
  <mergeCells count="3">
    <mergeCell ref="A1:Z2"/>
    <mergeCell ref="S4:T4"/>
    <mergeCell ref="Y4:Z4"/>
  </mergeCells>
  <pageMargins left="0.23" right="0.21" top="0.74803149606299213" bottom="0.74803149606299213" header="0.31496062992125984" footer="0.31496062992125984"/>
  <pageSetup paperSize="9" scale="55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C48"/>
  <sheetViews>
    <sheetView tabSelected="1" zoomScale="90" zoomScaleNormal="90" workbookViewId="0">
      <selection activeCell="I36" sqref="I36"/>
    </sheetView>
  </sheetViews>
  <sheetFormatPr defaultRowHeight="15" x14ac:dyDescent="0.25"/>
  <cols>
    <col min="1" max="1" width="34" customWidth="1"/>
    <col min="2" max="2" width="6.28515625" customWidth="1"/>
    <col min="3" max="3" width="9" customWidth="1"/>
    <col min="4" max="4" width="13" customWidth="1"/>
    <col min="5" max="5" width="13.140625" customWidth="1"/>
    <col min="6" max="6" width="9" customWidth="1"/>
    <col min="7" max="7" width="9.140625" bestFit="1" customWidth="1"/>
    <col min="8" max="8" width="8.28515625" bestFit="1" customWidth="1"/>
    <col min="9" max="9" width="10.85546875" customWidth="1"/>
    <col min="10" max="10" width="9.140625" bestFit="1" customWidth="1"/>
    <col min="11" max="11" width="5.85546875" customWidth="1"/>
    <col min="12" max="12" width="6.42578125" customWidth="1"/>
    <col min="13" max="13" width="6.140625" customWidth="1"/>
    <col min="14" max="14" width="7.85546875" bestFit="1" customWidth="1"/>
    <col min="15" max="15" width="9.28515625" customWidth="1"/>
    <col min="16" max="16" width="7" bestFit="1" customWidth="1"/>
    <col min="17" max="17" width="8.140625" bestFit="1" customWidth="1"/>
    <col min="18" max="18" width="6.42578125" bestFit="1" customWidth="1"/>
    <col min="19" max="19" width="10.85546875" customWidth="1"/>
    <col min="20" max="20" width="7" customWidth="1"/>
    <col min="21" max="21" width="10.140625" customWidth="1"/>
    <col min="22" max="22" width="11.140625" bestFit="1" customWidth="1"/>
    <col min="23" max="23" width="9.28515625" bestFit="1" customWidth="1"/>
    <col min="24" max="24" width="14" bestFit="1" customWidth="1"/>
    <col min="25" max="25" width="10.42578125" customWidth="1"/>
    <col min="26" max="26" width="6.85546875" customWidth="1"/>
    <col min="27" max="27" width="1.85546875" customWidth="1"/>
  </cols>
  <sheetData>
    <row r="1" spans="1:29" ht="15" customHeight="1" x14ac:dyDescent="0.25">
      <c r="A1" s="325" t="s">
        <v>228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8" t="s">
        <v>1</v>
      </c>
      <c r="C4" s="244" t="s">
        <v>2</v>
      </c>
      <c r="D4" s="245" t="s">
        <v>3</v>
      </c>
      <c r="E4" s="245" t="s">
        <v>4</v>
      </c>
      <c r="F4" s="245" t="s">
        <v>102</v>
      </c>
      <c r="G4" s="245" t="s">
        <v>6</v>
      </c>
      <c r="H4" s="245" t="s">
        <v>7</v>
      </c>
      <c r="I4" s="245" t="s">
        <v>101</v>
      </c>
      <c r="J4" s="245" t="s">
        <v>9</v>
      </c>
      <c r="K4" s="245" t="s">
        <v>10</v>
      </c>
      <c r="L4" s="245" t="s">
        <v>11</v>
      </c>
      <c r="M4" s="245" t="s">
        <v>12</v>
      </c>
      <c r="N4" s="245" t="s">
        <v>13</v>
      </c>
      <c r="O4" s="245" t="s">
        <v>14</v>
      </c>
      <c r="P4" s="246" t="s">
        <v>15</v>
      </c>
      <c r="Q4" s="246" t="s">
        <v>16</v>
      </c>
      <c r="R4" s="246" t="s">
        <v>17</v>
      </c>
      <c r="S4" s="335" t="s">
        <v>18</v>
      </c>
      <c r="T4" s="336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30" t="s">
        <v>24</v>
      </c>
      <c r="T5" s="51" t="s">
        <v>25</v>
      </c>
      <c r="U5" s="206" t="s">
        <v>25</v>
      </c>
      <c r="V5" s="206" t="s">
        <v>25</v>
      </c>
      <c r="W5" s="206" t="s">
        <v>25</v>
      </c>
      <c r="X5" s="207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34">
        <v>11.299999999999999</v>
      </c>
      <c r="G6" s="134"/>
      <c r="H6" s="134"/>
      <c r="I6" s="134"/>
      <c r="J6" s="134">
        <v>7.7800000000000011</v>
      </c>
      <c r="K6" s="134"/>
      <c r="L6" s="134"/>
      <c r="M6" s="134"/>
      <c r="N6" s="134"/>
      <c r="O6" s="134"/>
      <c r="P6" s="134"/>
      <c r="Q6" s="134">
        <v>11.3</v>
      </c>
      <c r="R6" s="134"/>
      <c r="S6" s="24">
        <f>C6/100*$C$31+D6/100*$D$31+E6/100*$E$31+F6/100*$F$31+G6/100*$G$31+H6/100*$H$31+I6/100*$I$31+J6/100*$J$31+K6/100*$K$31+L6/100*$L$31+M6/100*$M$31+N6/100*$N$31+O6/100*$O$31+P6/100*$P$31+Q6/100*$Q$31+R6/100*$R$31</f>
        <v>20373.294000000002</v>
      </c>
      <c r="T6" s="140">
        <f>S6*100/$S$31</f>
        <v>2.0285437769022368</v>
      </c>
      <c r="U6" s="250"/>
      <c r="V6" s="250"/>
      <c r="W6" s="250"/>
      <c r="X6" s="250"/>
      <c r="Y6" s="20">
        <f>U6/100*$U$31+V6/100*$V$31+W6/100*$W$31+X6/100*$X$31+S6</f>
        <v>20373.294000000002</v>
      </c>
      <c r="Z6" s="25">
        <f t="shared" ref="Z6:Z28" si="0">Y6*100/$Y$31</f>
        <v>0.96716050179776381</v>
      </c>
    </row>
    <row r="7" spans="1:29" x14ac:dyDescent="0.25">
      <c r="A7" s="26" t="s">
        <v>27</v>
      </c>
      <c r="B7" s="18" t="s">
        <v>25</v>
      </c>
      <c r="C7" s="22">
        <v>20</v>
      </c>
      <c r="D7" s="22"/>
      <c r="E7" s="22"/>
      <c r="F7" s="134">
        <v>5.92</v>
      </c>
      <c r="G7" s="134"/>
      <c r="H7" s="134">
        <v>20</v>
      </c>
      <c r="I7" s="134"/>
      <c r="J7" s="134">
        <v>2.5900000000000003</v>
      </c>
      <c r="K7" s="134"/>
      <c r="L7" s="134"/>
      <c r="M7" s="134"/>
      <c r="N7" s="134"/>
      <c r="O7" s="134"/>
      <c r="P7" s="134"/>
      <c r="Q7" s="134">
        <v>5.92</v>
      </c>
      <c r="R7" s="134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12427.425800000001</v>
      </c>
      <c r="T7" s="21">
        <f t="shared" ref="T7:T29" si="2">S7*100/$S$31</f>
        <v>1.2373834721819799</v>
      </c>
      <c r="U7" s="134">
        <v>5.5499999999999989</v>
      </c>
      <c r="V7" s="134"/>
      <c r="W7" s="22"/>
      <c r="X7" s="23"/>
      <c r="Y7" s="20">
        <f t="shared" ref="Y7:Y29" si="3">U7/100*$U$31+V7/100*$V$31+W7/100*$W$31+X7/100*$X$31+S7</f>
        <v>46786.532299999992</v>
      </c>
      <c r="Z7" s="25">
        <f t="shared" si="0"/>
        <v>2.2210490879209455</v>
      </c>
    </row>
    <row r="8" spans="1:29" x14ac:dyDescent="0.25">
      <c r="A8" s="3" t="s">
        <v>28</v>
      </c>
      <c r="B8" s="27" t="s">
        <v>25</v>
      </c>
      <c r="C8" s="22">
        <v>80</v>
      </c>
      <c r="D8" s="22"/>
      <c r="E8" s="22"/>
      <c r="F8" s="134">
        <v>26.269999999999992</v>
      </c>
      <c r="G8" s="134"/>
      <c r="H8" s="134">
        <v>80</v>
      </c>
      <c r="I8" s="134"/>
      <c r="J8" s="134">
        <v>5.1800000000000006</v>
      </c>
      <c r="K8" s="134"/>
      <c r="L8" s="134"/>
      <c r="M8" s="134"/>
      <c r="N8" s="134"/>
      <c r="O8" s="134"/>
      <c r="P8" s="134"/>
      <c r="Q8" s="134">
        <v>24.42</v>
      </c>
      <c r="R8" s="134"/>
      <c r="S8" s="20">
        <f t="shared" si="1"/>
        <v>45865.1368</v>
      </c>
      <c r="T8" s="21">
        <f t="shared" si="2"/>
        <v>4.5667351500650675</v>
      </c>
      <c r="U8" s="134"/>
      <c r="V8" s="134"/>
      <c r="W8" s="22"/>
      <c r="X8" s="23"/>
      <c r="Y8" s="20">
        <f t="shared" si="3"/>
        <v>45865.1368</v>
      </c>
      <c r="Z8" s="25">
        <f t="shared" si="0"/>
        <v>2.1773086238539077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20">
        <f t="shared" si="1"/>
        <v>0</v>
      </c>
      <c r="T9" s="21">
        <f t="shared" si="2"/>
        <v>0</v>
      </c>
      <c r="U9" s="134"/>
      <c r="V9" s="134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20">
        <f t="shared" si="1"/>
        <v>0</v>
      </c>
      <c r="T10" s="21">
        <f t="shared" si="2"/>
        <v>0</v>
      </c>
      <c r="U10" s="134"/>
      <c r="V10" s="134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20">
        <f t="shared" si="1"/>
        <v>0</v>
      </c>
      <c r="T11" s="21">
        <f t="shared" si="2"/>
        <v>0</v>
      </c>
      <c r="U11" s="134"/>
      <c r="V11" s="134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20">
        <f t="shared" si="1"/>
        <v>0</v>
      </c>
      <c r="T12" s="21">
        <f t="shared" si="2"/>
        <v>0</v>
      </c>
      <c r="U12" s="134"/>
      <c r="V12" s="134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20">
        <f t="shared" si="1"/>
        <v>0</v>
      </c>
      <c r="T13" s="21">
        <f t="shared" si="2"/>
        <v>0</v>
      </c>
      <c r="U13" s="134"/>
      <c r="V13" s="134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20">
        <f t="shared" si="1"/>
        <v>0</v>
      </c>
      <c r="T14" s="21">
        <f t="shared" si="2"/>
        <v>0</v>
      </c>
      <c r="U14" s="134"/>
      <c r="V14" s="134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22"/>
      <c r="D15" s="22"/>
      <c r="E15" s="22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20">
        <f t="shared" si="1"/>
        <v>0</v>
      </c>
      <c r="T15" s="21">
        <f t="shared" si="2"/>
        <v>0</v>
      </c>
      <c r="U15" s="134"/>
      <c r="V15" s="134"/>
      <c r="W15" s="22"/>
      <c r="X15" s="23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134"/>
      <c r="G16" s="134">
        <v>100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20">
        <f t="shared" si="1"/>
        <v>773604</v>
      </c>
      <c r="T16" s="21">
        <f t="shared" si="2"/>
        <v>77.026796942442289</v>
      </c>
      <c r="U16" s="134"/>
      <c r="V16" s="134"/>
      <c r="W16" s="22"/>
      <c r="X16" s="23"/>
      <c r="Y16" s="20">
        <f t="shared" si="3"/>
        <v>773604</v>
      </c>
      <c r="Z16" s="25">
        <f t="shared" si="0"/>
        <v>36.724509685707041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134">
        <v>56.509999999999991</v>
      </c>
      <c r="G17" s="134"/>
      <c r="H17" s="134"/>
      <c r="I17" s="134"/>
      <c r="J17" s="134">
        <v>84.45</v>
      </c>
      <c r="K17" s="134"/>
      <c r="L17" s="134"/>
      <c r="M17" s="134"/>
      <c r="N17" s="134"/>
      <c r="O17" s="134"/>
      <c r="P17" s="134"/>
      <c r="Q17" s="134">
        <v>58.36</v>
      </c>
      <c r="R17" s="134"/>
      <c r="S17" s="20">
        <f t="shared" si="1"/>
        <v>152061.1434</v>
      </c>
      <c r="T17" s="21">
        <f t="shared" si="2"/>
        <v>15.140540658408433</v>
      </c>
      <c r="U17" s="134">
        <v>9.370000000000001</v>
      </c>
      <c r="V17" s="134">
        <v>100</v>
      </c>
      <c r="W17" s="22"/>
      <c r="X17" s="23"/>
      <c r="Y17" s="20">
        <f t="shared" si="3"/>
        <v>693161.22050000005</v>
      </c>
      <c r="Z17" s="25">
        <f t="shared" si="0"/>
        <v>32.905732074819639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50"/>
      <c r="G18" s="250"/>
      <c r="H18" s="250"/>
      <c r="I18" s="22"/>
      <c r="J18" s="250"/>
      <c r="K18" s="22"/>
      <c r="L18" s="22"/>
      <c r="M18" s="22"/>
      <c r="N18" s="22"/>
      <c r="O18" s="22"/>
      <c r="P18" s="22"/>
      <c r="Q18" s="250"/>
      <c r="R18" s="22"/>
      <c r="S18" s="20">
        <f t="shared" si="1"/>
        <v>0</v>
      </c>
      <c r="T18" s="21">
        <f t="shared" si="2"/>
        <v>0</v>
      </c>
      <c r="U18" s="134"/>
      <c r="V18" s="134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50"/>
      <c r="G19" s="250"/>
      <c r="H19" s="250"/>
      <c r="I19" s="22"/>
      <c r="J19" s="250"/>
      <c r="K19" s="22"/>
      <c r="L19" s="22"/>
      <c r="M19" s="22"/>
      <c r="N19" s="22"/>
      <c r="O19" s="22"/>
      <c r="P19" s="22"/>
      <c r="Q19" s="250"/>
      <c r="R19" s="22"/>
      <c r="S19" s="20">
        <f>C19/100*$C$31+D19/100*$D$31+E19/100*$E$31+F19/100*$F$31+G19/100*$G$31+H19/100*$H$31+I19/100*$I$31+J19/100*$J$31+K19/100*$K$31+L19/100*$L$31+M19/100*$M$31+N19/100*$N$31+O19/100*$O$31+P19/100*$P$31+Q19/100*$Q$31+R19/100*$R$31</f>
        <v>0</v>
      </c>
      <c r="T19" s="21">
        <f t="shared" si="2"/>
        <v>0</v>
      </c>
      <c r="U19" s="134">
        <v>43.41</v>
      </c>
      <c r="V19" s="134"/>
      <c r="W19" s="22"/>
      <c r="X19" s="23"/>
      <c r="Y19" s="20">
        <f t="shared" si="3"/>
        <v>268743.93030000001</v>
      </c>
      <c r="Z19" s="25">
        <f t="shared" si="0"/>
        <v>12.757805118998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50"/>
      <c r="G20" s="250"/>
      <c r="H20" s="250"/>
      <c r="I20" s="22"/>
      <c r="J20" s="250"/>
      <c r="K20" s="22"/>
      <c r="L20" s="22"/>
      <c r="M20" s="22"/>
      <c r="N20" s="22"/>
      <c r="O20" s="22"/>
      <c r="P20" s="22"/>
      <c r="Q20" s="250"/>
      <c r="R20" s="22"/>
      <c r="S20" s="20">
        <f t="shared" si="1"/>
        <v>0</v>
      </c>
      <c r="T20" s="21">
        <f t="shared" si="2"/>
        <v>0</v>
      </c>
      <c r="U20" s="134">
        <v>2.23</v>
      </c>
      <c r="V20" s="134"/>
      <c r="W20" s="22"/>
      <c r="X20" s="23"/>
      <c r="Y20" s="20">
        <f t="shared" si="3"/>
        <v>13805.5509</v>
      </c>
      <c r="Z20" s="25">
        <f t="shared" si="0"/>
        <v>0.65537676607614703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50"/>
      <c r="G21" s="250"/>
      <c r="H21" s="250"/>
      <c r="I21" s="22"/>
      <c r="J21" s="250"/>
      <c r="K21" s="22"/>
      <c r="L21" s="22"/>
      <c r="M21" s="22"/>
      <c r="N21" s="22"/>
      <c r="O21" s="22"/>
      <c r="P21" s="22"/>
      <c r="Q21" s="250"/>
      <c r="R21" s="22"/>
      <c r="S21" s="20">
        <f t="shared" si="1"/>
        <v>0</v>
      </c>
      <c r="T21" s="21">
        <f t="shared" si="2"/>
        <v>0</v>
      </c>
      <c r="U21" s="134">
        <v>4.2600000000000007</v>
      </c>
      <c r="V21" s="134"/>
      <c r="W21" s="22"/>
      <c r="X21" s="23"/>
      <c r="Y21" s="20">
        <f t="shared" si="3"/>
        <v>26372.935800000003</v>
      </c>
      <c r="Z21" s="25">
        <f t="shared" si="0"/>
        <v>1.2519753468539847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50"/>
      <c r="G22" s="250"/>
      <c r="H22" s="250"/>
      <c r="I22" s="22"/>
      <c r="J22" s="250"/>
      <c r="K22" s="22"/>
      <c r="L22" s="22"/>
      <c r="M22" s="22"/>
      <c r="N22" s="22"/>
      <c r="O22" s="22"/>
      <c r="P22" s="22"/>
      <c r="Q22" s="250"/>
      <c r="R22" s="22"/>
      <c r="S22" s="20">
        <f t="shared" si="1"/>
        <v>0</v>
      </c>
      <c r="T22" s="21">
        <f t="shared" si="2"/>
        <v>0</v>
      </c>
      <c r="U22" s="134">
        <v>0</v>
      </c>
      <c r="V22" s="134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50"/>
      <c r="G23" s="250"/>
      <c r="H23" s="250"/>
      <c r="I23" s="22"/>
      <c r="J23" s="250"/>
      <c r="K23" s="22"/>
      <c r="L23" s="22"/>
      <c r="M23" s="22"/>
      <c r="N23" s="22"/>
      <c r="O23" s="22"/>
      <c r="P23" s="22"/>
      <c r="Q23" s="250"/>
      <c r="R23" s="22"/>
      <c r="S23" s="20">
        <f t="shared" si="1"/>
        <v>0</v>
      </c>
      <c r="T23" s="21">
        <f t="shared" si="2"/>
        <v>0</v>
      </c>
      <c r="U23" s="134">
        <v>10.780000000000001</v>
      </c>
      <c r="V23" s="134"/>
      <c r="W23" s="22"/>
      <c r="X23" s="23"/>
      <c r="Y23" s="20">
        <f t="shared" si="3"/>
        <v>66737.147400000002</v>
      </c>
      <c r="Z23" s="25">
        <f t="shared" si="0"/>
        <v>3.168144187578863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50"/>
      <c r="G24" s="250"/>
      <c r="H24" s="250"/>
      <c r="I24" s="22"/>
      <c r="J24" s="250"/>
      <c r="K24" s="22"/>
      <c r="L24" s="22"/>
      <c r="M24" s="22"/>
      <c r="N24" s="22"/>
      <c r="O24" s="22"/>
      <c r="P24" s="22"/>
      <c r="Q24" s="250"/>
      <c r="R24" s="22"/>
      <c r="S24" s="20">
        <f t="shared" si="1"/>
        <v>0</v>
      </c>
      <c r="T24" s="21">
        <f t="shared" si="2"/>
        <v>0</v>
      </c>
      <c r="U24" s="134">
        <v>0</v>
      </c>
      <c r="V24" s="134"/>
      <c r="W24" s="22"/>
      <c r="X24" s="23"/>
      <c r="Y24" s="20">
        <f t="shared" si="3"/>
        <v>0</v>
      </c>
      <c r="Z24" s="25">
        <f t="shared" si="0"/>
        <v>0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50"/>
      <c r="G25" s="250"/>
      <c r="H25" s="250"/>
      <c r="I25" s="22"/>
      <c r="J25" s="250"/>
      <c r="K25" s="22"/>
      <c r="L25" s="22"/>
      <c r="M25" s="22"/>
      <c r="N25" s="22"/>
      <c r="O25" s="22"/>
      <c r="P25" s="22"/>
      <c r="Q25" s="250"/>
      <c r="R25" s="22"/>
      <c r="S25" s="20">
        <f t="shared" si="1"/>
        <v>0</v>
      </c>
      <c r="T25" s="21">
        <f t="shared" si="2"/>
        <v>0</v>
      </c>
      <c r="U25" s="134">
        <v>4.2</v>
      </c>
      <c r="V25" s="134"/>
      <c r="W25" s="22"/>
      <c r="X25" s="23"/>
      <c r="Y25" s="20">
        <f t="shared" si="3"/>
        <v>26001.486000000001</v>
      </c>
      <c r="Z25" s="25">
        <f t="shared" si="0"/>
        <v>1.2343418912644921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50"/>
      <c r="G26" s="250"/>
      <c r="H26" s="250"/>
      <c r="I26" s="22"/>
      <c r="J26" s="250"/>
      <c r="K26" s="22"/>
      <c r="L26" s="22"/>
      <c r="M26" s="22"/>
      <c r="N26" s="22"/>
      <c r="O26" s="22"/>
      <c r="P26" s="22"/>
      <c r="Q26" s="250"/>
      <c r="R26" s="22"/>
      <c r="S26" s="20">
        <f t="shared" si="1"/>
        <v>0</v>
      </c>
      <c r="T26" s="21">
        <f t="shared" si="2"/>
        <v>0</v>
      </c>
      <c r="U26" s="134">
        <v>0</v>
      </c>
      <c r="V26" s="134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50"/>
      <c r="G27" s="250"/>
      <c r="H27" s="250"/>
      <c r="I27" s="22"/>
      <c r="J27" s="250"/>
      <c r="K27" s="22"/>
      <c r="L27" s="22"/>
      <c r="M27" s="22"/>
      <c r="N27" s="22"/>
      <c r="O27" s="22"/>
      <c r="P27" s="22"/>
      <c r="Q27" s="250"/>
      <c r="R27" s="22"/>
      <c r="S27" s="20">
        <f t="shared" si="1"/>
        <v>0</v>
      </c>
      <c r="T27" s="21">
        <f t="shared" si="2"/>
        <v>0</v>
      </c>
      <c r="U27" s="134">
        <v>11.999999999999998</v>
      </c>
      <c r="V27" s="134"/>
      <c r="W27" s="22"/>
      <c r="X27" s="23"/>
      <c r="Y27" s="20">
        <f t="shared" si="3"/>
        <v>74289.959999999992</v>
      </c>
      <c r="Z27" s="25">
        <f t="shared" si="0"/>
        <v>3.5266911178985483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50"/>
      <c r="G28" s="250"/>
      <c r="H28" s="250"/>
      <c r="I28" s="22"/>
      <c r="J28" s="250"/>
      <c r="K28" s="22"/>
      <c r="L28" s="22"/>
      <c r="M28" s="22"/>
      <c r="N28" s="22"/>
      <c r="O28" s="22"/>
      <c r="P28" s="22"/>
      <c r="Q28" s="250"/>
      <c r="R28" s="22"/>
      <c r="S28" s="20">
        <f t="shared" si="1"/>
        <v>0</v>
      </c>
      <c r="T28" s="21">
        <f t="shared" si="2"/>
        <v>0</v>
      </c>
      <c r="U28" s="134">
        <v>7.0500000000000007</v>
      </c>
      <c r="V28" s="134"/>
      <c r="W28" s="22"/>
      <c r="X28" s="23"/>
      <c r="Y28" s="20">
        <f t="shared" si="3"/>
        <v>43645.351500000004</v>
      </c>
      <c r="Z28" s="25">
        <f t="shared" si="0"/>
        <v>2.0719310317653976</v>
      </c>
    </row>
    <row r="29" spans="1:27" x14ac:dyDescent="0.25">
      <c r="A29" s="9" t="s">
        <v>49</v>
      </c>
      <c r="B29" s="30" t="s">
        <v>25</v>
      </c>
      <c r="C29" s="251"/>
      <c r="D29" s="38"/>
      <c r="E29" s="38"/>
      <c r="F29" s="252"/>
      <c r="G29" s="252"/>
      <c r="H29" s="252"/>
      <c r="I29" s="38"/>
      <c r="J29" s="252"/>
      <c r="K29" s="38"/>
      <c r="L29" s="38"/>
      <c r="M29" s="38"/>
      <c r="N29" s="38"/>
      <c r="O29" s="38"/>
      <c r="P29" s="38"/>
      <c r="Q29" s="252"/>
      <c r="R29" s="41"/>
      <c r="S29" s="39">
        <f t="shared" si="1"/>
        <v>0</v>
      </c>
      <c r="T29" s="40">
        <f t="shared" si="2"/>
        <v>0</v>
      </c>
      <c r="U29" s="178">
        <v>1.1499999999999999</v>
      </c>
      <c r="V29" s="137"/>
      <c r="W29" s="38"/>
      <c r="X29" s="41"/>
      <c r="Y29" s="39">
        <f t="shared" si="3"/>
        <v>7119.4544999999998</v>
      </c>
      <c r="Z29" s="42">
        <f>Y29*100/$Y$31</f>
        <v>0.33797456546527754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99.999999999999986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1004331</v>
      </c>
      <c r="T30" s="20">
        <f>+SUM(T6:T29)</f>
        <v>100</v>
      </c>
      <c r="U30" s="44">
        <f>SUM(U6:U29)</f>
        <v>100</v>
      </c>
      <c r="V30" s="44">
        <f t="shared" ref="V30" si="5">SUM(V6:V29)</f>
        <v>100</v>
      </c>
      <c r="W30" s="44">
        <f>SUM(W6:W29)</f>
        <v>0</v>
      </c>
      <c r="X30" s="44">
        <f>SUM(X6:X29)</f>
        <v>0</v>
      </c>
      <c r="Y30" s="39">
        <f>SUM(Y6:Y29)</f>
        <v>2106506</v>
      </c>
      <c r="Z30" s="42">
        <f>SUM(Z6:Z29)</f>
        <v>100.00000000000001</v>
      </c>
    </row>
    <row r="31" spans="1:27" ht="15.75" thickBot="1" x14ac:dyDescent="0.3">
      <c r="A31" s="45" t="s">
        <v>51</v>
      </c>
      <c r="B31" s="46" t="s">
        <v>24</v>
      </c>
      <c r="C31" s="47">
        <v>12817</v>
      </c>
      <c r="D31" s="47">
        <v>0</v>
      </c>
      <c r="E31" s="47">
        <v>98751</v>
      </c>
      <c r="F31" s="47">
        <v>52180</v>
      </c>
      <c r="G31" s="47">
        <v>674853</v>
      </c>
      <c r="H31" s="47">
        <v>3976</v>
      </c>
      <c r="I31" s="47">
        <v>0</v>
      </c>
      <c r="J31" s="47">
        <v>107990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53764</v>
      </c>
      <c r="R31" s="47">
        <v>0</v>
      </c>
      <c r="S31" s="48">
        <f>SUM(C31:R31)</f>
        <v>1004331</v>
      </c>
      <c r="T31" s="48">
        <f>S31*100/$S$31</f>
        <v>100</v>
      </c>
      <c r="U31" s="47">
        <v>619083</v>
      </c>
      <c r="V31" s="47">
        <v>483092</v>
      </c>
      <c r="W31" s="47">
        <v>0</v>
      </c>
      <c r="X31" s="47">
        <v>0</v>
      </c>
      <c r="Y31" s="48">
        <f>+S31+U31+V31+W31+X31</f>
        <v>2106506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12"/>
      <c r="Y32" s="78">
        <f>SUM(C32:W32)</f>
        <v>0</v>
      </c>
      <c r="Z32" s="54"/>
    </row>
    <row r="33" spans="1:19" x14ac:dyDescent="0.25">
      <c r="A33" s="55"/>
      <c r="S33" s="1"/>
    </row>
    <row r="34" spans="1:19" x14ac:dyDescent="0.25">
      <c r="A34" s="56" t="s">
        <v>53</v>
      </c>
      <c r="B34" s="57"/>
      <c r="C34" s="57"/>
      <c r="D34" s="57"/>
      <c r="E34" s="57"/>
      <c r="F34" s="58"/>
      <c r="G34" s="10"/>
    </row>
    <row r="35" spans="1:19" x14ac:dyDescent="0.25">
      <c r="A35" s="59" t="s">
        <v>54</v>
      </c>
      <c r="B35" s="22"/>
      <c r="C35" s="22"/>
      <c r="D35" s="22"/>
      <c r="E35" s="22"/>
      <c r="F35" s="23"/>
      <c r="G35" s="10"/>
    </row>
    <row r="36" spans="1:19" x14ac:dyDescent="0.25">
      <c r="A36" s="59" t="s">
        <v>56</v>
      </c>
      <c r="B36" s="22"/>
      <c r="C36" s="22"/>
      <c r="D36" s="22"/>
      <c r="E36" s="22"/>
      <c r="F36" s="23"/>
      <c r="G36" s="10"/>
    </row>
    <row r="37" spans="1:19" x14ac:dyDescent="0.25">
      <c r="A37" s="11" t="s">
        <v>57</v>
      </c>
      <c r="B37" s="38"/>
      <c r="C37" s="38"/>
      <c r="D37" s="38"/>
      <c r="E37" s="38"/>
      <c r="F37" s="41"/>
      <c r="G37" s="10"/>
    </row>
    <row r="38" spans="1:19" x14ac:dyDescent="0.25">
      <c r="A38" t="s">
        <v>58</v>
      </c>
      <c r="G38" s="10"/>
    </row>
    <row r="39" spans="1:19" ht="18.75" x14ac:dyDescent="0.3">
      <c r="A39" s="60"/>
      <c r="B39" s="61"/>
    </row>
    <row r="40" spans="1:19" ht="18.75" x14ac:dyDescent="0.3">
      <c r="A40" s="60"/>
      <c r="B40" s="61"/>
    </row>
    <row r="41" spans="1:19" ht="18.75" x14ac:dyDescent="0.3">
      <c r="B41" s="61"/>
    </row>
    <row r="42" spans="1:19" x14ac:dyDescent="0.25">
      <c r="A42" s="10"/>
      <c r="C42" s="62"/>
      <c r="D42" s="62"/>
      <c r="E42" s="62"/>
    </row>
    <row r="43" spans="1:19" x14ac:dyDescent="0.25">
      <c r="A43" s="62"/>
      <c r="B43" s="62"/>
      <c r="C43" s="63"/>
      <c r="F43" s="64"/>
      <c r="G43" s="64"/>
    </row>
    <row r="44" spans="1:19" x14ac:dyDescent="0.25">
      <c r="A44" s="62"/>
      <c r="B44" s="62"/>
      <c r="C44" s="63"/>
    </row>
    <row r="45" spans="1:19" x14ac:dyDescent="0.25">
      <c r="A45" s="62"/>
      <c r="B45" s="62"/>
      <c r="C45" s="63"/>
    </row>
    <row r="46" spans="1:19" x14ac:dyDescent="0.25">
      <c r="A46" s="62"/>
      <c r="B46" s="62"/>
      <c r="C46" s="63"/>
    </row>
    <row r="47" spans="1:19" x14ac:dyDescent="0.25">
      <c r="A47" s="62"/>
      <c r="B47" s="62"/>
      <c r="C47" s="63"/>
    </row>
    <row r="48" spans="1:19" x14ac:dyDescent="0.25">
      <c r="A48" s="62"/>
      <c r="B48" s="62"/>
      <c r="C48" s="63"/>
    </row>
  </sheetData>
  <mergeCells count="3">
    <mergeCell ref="A1:Z2"/>
    <mergeCell ref="S4:T4"/>
    <mergeCell ref="Y4:Z4"/>
  </mergeCells>
  <pageMargins left="0.25" right="0.24" top="0.74803149606299213" bottom="0.74803149606299213" header="0.31496062992125984" footer="0.31496062992125984"/>
  <pageSetup paperSize="9" scale="55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2:Z36"/>
  <sheetViews>
    <sheetView topLeftCell="B1" workbookViewId="0">
      <selection activeCell="J11" sqref="J11"/>
    </sheetView>
  </sheetViews>
  <sheetFormatPr defaultRowHeight="15" x14ac:dyDescent="0.25"/>
  <cols>
    <col min="1" max="1" width="17.85546875" customWidth="1"/>
    <col min="2" max="2" width="11.5703125" customWidth="1"/>
    <col min="3" max="3" width="12.5703125" bestFit="1" customWidth="1"/>
    <col min="4" max="5" width="13.7109375" customWidth="1"/>
    <col min="6" max="6" width="14.5703125" customWidth="1"/>
    <col min="7" max="7" width="13.7109375" bestFit="1" customWidth="1"/>
    <col min="8" max="8" width="10.42578125" customWidth="1"/>
    <col min="9" max="9" width="11.140625" customWidth="1"/>
    <col min="10" max="10" width="13.7109375" bestFit="1" customWidth="1"/>
    <col min="11" max="11" width="10.85546875" customWidth="1"/>
    <col min="12" max="12" width="11" bestFit="1" customWidth="1"/>
    <col min="13" max="13" width="12.7109375" bestFit="1" customWidth="1"/>
    <col min="14" max="14" width="9.28515625" customWidth="1"/>
    <col min="15" max="15" width="12.5703125" bestFit="1" customWidth="1"/>
    <col min="16" max="16" width="10" customWidth="1"/>
    <col min="17" max="18" width="12.5703125" bestFit="1" customWidth="1"/>
    <col min="19" max="19" width="13.7109375" bestFit="1" customWidth="1"/>
    <col min="20" max="20" width="10.7109375" customWidth="1"/>
    <col min="21" max="21" width="11" customWidth="1"/>
    <col min="22" max="22" width="9.42578125" bestFit="1" customWidth="1"/>
    <col min="23" max="23" width="10.42578125" customWidth="1"/>
    <col min="24" max="24" width="12.140625" customWidth="1"/>
    <col min="25" max="25" width="11" customWidth="1"/>
  </cols>
  <sheetData>
    <row r="2" spans="1:26" x14ac:dyDescent="0.25">
      <c r="C2" s="337" t="s">
        <v>64</v>
      </c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</row>
    <row r="3" spans="1:26" x14ac:dyDescent="0.25">
      <c r="A3" s="105" t="s">
        <v>60</v>
      </c>
      <c r="B3" s="105"/>
      <c r="C3" s="105" t="s">
        <v>2</v>
      </c>
      <c r="D3" s="105" t="s">
        <v>3</v>
      </c>
      <c r="E3" s="105" t="s">
        <v>4</v>
      </c>
      <c r="F3" s="105" t="s">
        <v>5</v>
      </c>
      <c r="G3" s="105" t="s">
        <v>6</v>
      </c>
      <c r="H3" s="105" t="s">
        <v>7</v>
      </c>
      <c r="I3" s="105" t="s">
        <v>8</v>
      </c>
      <c r="J3" s="105" t="s">
        <v>9</v>
      </c>
      <c r="K3" s="105" t="s">
        <v>10</v>
      </c>
      <c r="L3" s="105" t="s">
        <v>11</v>
      </c>
      <c r="M3" s="105" t="s">
        <v>12</v>
      </c>
      <c r="N3" s="105" t="s">
        <v>13</v>
      </c>
      <c r="O3" s="105" t="s">
        <v>14</v>
      </c>
      <c r="P3" s="105" t="s">
        <v>15</v>
      </c>
      <c r="Q3" s="105" t="s">
        <v>16</v>
      </c>
      <c r="R3" s="105" t="s">
        <v>17</v>
      </c>
      <c r="S3" s="105" t="s">
        <v>18</v>
      </c>
      <c r="T3" s="105" t="s">
        <v>19</v>
      </c>
      <c r="U3" s="105" t="s">
        <v>20</v>
      </c>
      <c r="V3" s="105" t="s">
        <v>21</v>
      </c>
      <c r="W3" s="105" t="s">
        <v>22</v>
      </c>
      <c r="X3" s="105" t="s">
        <v>23</v>
      </c>
      <c r="Y3" s="105"/>
    </row>
    <row r="4" spans="1:26" x14ac:dyDescent="0.25">
      <c r="A4" t="s">
        <v>62</v>
      </c>
      <c r="B4" t="s">
        <v>61</v>
      </c>
      <c r="C4" s="79">
        <f>+'1'!C31+'2'!C31+'3'!C31+'4'!C31+'5'!C31</f>
        <v>146326</v>
      </c>
      <c r="D4" s="79">
        <f>+'1'!D31+'2'!D31+'3'!D31+'4'!D31+'5'!D31</f>
        <v>33310</v>
      </c>
      <c r="E4" s="79">
        <f>+'1'!E31+'2'!E31+'3'!E31+'4'!E31+'5'!E31</f>
        <v>536650</v>
      </c>
      <c r="F4" s="79">
        <f>+'1'!F31+'2'!F31+'3'!F31+'4'!F31+'5'!F31</f>
        <v>9937488.7624999993</v>
      </c>
      <c r="G4" s="79">
        <f>+'1'!G31+'2'!G31+'3'!G31+'4'!G31+'5'!G31</f>
        <v>12030837.237499997</v>
      </c>
      <c r="H4" s="79">
        <f>+'1'!H31+'2'!H31+'3'!H31+'4'!H31+'5'!H31</f>
        <v>341013</v>
      </c>
      <c r="I4" s="79">
        <f>+'1'!I31+'2'!I31+'3'!I31+'4'!I31+'5'!I31</f>
        <v>0</v>
      </c>
      <c r="J4" s="79">
        <f>+'1'!J31+'2'!J31+'3'!J31+'4'!J31+'5'!J31</f>
        <v>1546310</v>
      </c>
      <c r="K4" s="79">
        <f>+'1'!K31+'2'!K31+'3'!K31+'4'!K31+'5'!K31</f>
        <v>1174864</v>
      </c>
      <c r="L4" s="79">
        <f>+'1'!L31+'2'!L31+'3'!L31+'4'!L31+'5'!L31</f>
        <v>0</v>
      </c>
      <c r="M4" s="79">
        <f>+'1'!M31+'2'!M31+'3'!M31+'4'!M31+'5'!M31</f>
        <v>1927665</v>
      </c>
      <c r="N4" s="79">
        <f>+'1'!N31+'2'!N31+'3'!N31+'4'!N31+'5'!N31</f>
        <v>26880</v>
      </c>
      <c r="O4" s="79">
        <f>+'1'!O31+'2'!O31+'3'!O31+'4'!O31+'5'!O31</f>
        <v>177463</v>
      </c>
      <c r="P4" s="79">
        <f>+'1'!P31+'2'!P31+'3'!P31+'4'!P31+'5'!P31</f>
        <v>118813</v>
      </c>
      <c r="Q4" s="79">
        <f>+'1'!Q31+'2'!Q31+'3'!Q31+'4'!Q31+'5'!Q31</f>
        <v>225762</v>
      </c>
      <c r="R4" s="79">
        <f>+'1'!R31+'2'!R31+'3'!R31+'4'!R31+'5'!R31</f>
        <v>0</v>
      </c>
      <c r="S4" s="79">
        <f>+'1'!S31+'2'!S31+'3'!S31+'4'!S31+'5'!S31</f>
        <v>28223381.999999996</v>
      </c>
      <c r="T4" s="79">
        <f>+'1'!U31+'2'!U31+'3'!U31+'4'!U31+'5'!U31</f>
        <v>6650918</v>
      </c>
      <c r="U4" s="79">
        <f>+'1'!V31+'2'!V31+'3'!V31+'4'!V31+'5'!V31</f>
        <v>1585000</v>
      </c>
      <c r="V4" s="79">
        <f>+'1'!W31+'2'!W31+'3'!W31+'4'!W31+'5'!W31</f>
        <v>0</v>
      </c>
      <c r="W4" s="79">
        <f>+'1'!X31+'2'!X31+'3'!X31+'4'!X31+'5'!X31</f>
        <v>384300</v>
      </c>
      <c r="X4" s="79">
        <f>+'1'!Y31+'2'!Y31+'3'!Y31+'4'!Y31+'5'!Y31</f>
        <v>36843600</v>
      </c>
    </row>
    <row r="5" spans="1:26" x14ac:dyDescent="0.25">
      <c r="A5" t="s">
        <v>63</v>
      </c>
      <c r="B5" s="115" t="s">
        <v>89</v>
      </c>
      <c r="C5" s="79">
        <f>+'6'!C31+'7'!C31+'8'!C31+'9'!C31+'10'!C31+'11'!C31+'12'!C31+'13'!C31+'14'!C31+'15'!C31</f>
        <v>323962</v>
      </c>
      <c r="D5" s="79">
        <f>+'6'!D31+'7'!D31+'8'!D31+'9'!D31+'10'!D31+'11'!D31+'12'!D31+'13'!D31+'14'!D31+'15'!D31</f>
        <v>1015</v>
      </c>
      <c r="E5" s="79">
        <f>+'6'!E31+'7'!E31+'8'!E31+'9'!E31+'10'!E31+'11'!E31+'12'!E31+'13'!E31+'14'!E31+'15'!E31</f>
        <v>45989</v>
      </c>
      <c r="F5" s="79">
        <f>+'6'!F31+'7'!F31+'8'!F31+'9'!F31+'10'!F31+'11'!F31+'12'!F31+'13'!F31+'14'!F31+'15'!F31</f>
        <v>1076637</v>
      </c>
      <c r="G5" s="79">
        <f>+'6'!G31+'7'!G31+'8'!G31+'9'!G31+'10'!G31+'11'!G31+'12'!G31+'13'!G31+'14'!G31+'15'!G31</f>
        <v>1019652</v>
      </c>
      <c r="H5" s="79">
        <f>+'6'!H31+'7'!H31+'8'!H31+'9'!H31+'10'!H31+'11'!H31+'12'!H31+'13'!H31+'14'!H31+'15'!H31</f>
        <v>2616879</v>
      </c>
      <c r="I5" s="79">
        <f>+'6'!I31+'7'!I31+'8'!I31+'9'!I31+'10'!I31+'11'!I31+'12'!I31+'13'!I31+'14'!I31+'15'!I31</f>
        <v>9.9999999999999999E-93</v>
      </c>
      <c r="J5" s="79">
        <f>+'6'!J31+'7'!J31+'8'!J31+'9'!J31+'10'!J31+'11'!J31+'12'!J31+'13'!J31+'14'!J31+'15'!J31</f>
        <v>11308746.999999998</v>
      </c>
      <c r="K5" s="79">
        <f>+'6'!K31+'7'!K31+'8'!K31+'9'!K31+'10'!K31+'11'!K31+'12'!K31+'13'!K31+'14'!K31+'15'!K31</f>
        <v>1134791</v>
      </c>
      <c r="L5" s="79">
        <f>+'6'!L31+'7'!L31+'8'!L31+'9'!L31+'10'!L31+'11'!L31+'12'!L31+'13'!L31+'14'!L31+'15'!L31</f>
        <v>151658</v>
      </c>
      <c r="M5" s="79">
        <f>+'6'!M31+'7'!M31+'8'!M31+'9'!M31+'10'!M31+'11'!M31+'12'!M31+'13'!M31+'14'!M31+'15'!M31</f>
        <v>9.9999999999999999E-93</v>
      </c>
      <c r="N5" s="79">
        <f>+'6'!N31+'7'!N31+'8'!N31+'9'!N31+'10'!N31+'11'!N31+'12'!N31+'13'!N31+'14'!N31+'15'!N31</f>
        <v>113861</v>
      </c>
      <c r="O5" s="79">
        <f>+'6'!O31+'7'!O31+'8'!O31+'9'!O31+'10'!O31+'11'!O31+'12'!O31+'13'!O31+'14'!O31+'15'!O31</f>
        <v>1295714.0000000002</v>
      </c>
      <c r="P5" s="79">
        <f>+'6'!P31+'7'!P31+'8'!P31+'9'!P31+'10'!P31+'11'!P31+'12'!P31+'13'!P31+'14'!P31+'15'!P31</f>
        <v>86669</v>
      </c>
      <c r="Q5" s="79">
        <f>+'6'!Q31+'7'!Q31+'8'!Q31+'9'!Q31+'10'!Q31+'11'!Q31+'12'!Q31+'13'!Q31+'14'!Q31+'15'!Q31</f>
        <v>77832</v>
      </c>
      <c r="R5" s="79">
        <f>+'6'!R31+'7'!R31+'8'!R31+'9'!R31+'10'!R31+'11'!R31+'12'!R31+'13'!R31+'14'!R31+'15'!R31</f>
        <v>36800</v>
      </c>
      <c r="S5" s="79">
        <f>+'6'!S31+'7'!S31+'8'!S31+'9'!S31+'10'!S31+'11'!S31+'12'!S31+'13'!S31+'14'!S31+'15'!S31</f>
        <v>19290206</v>
      </c>
      <c r="T5" s="79">
        <f>+'6'!U31+'7'!U31+'8'!U31+'9'!U31+'10'!U31+'11'!U31+'12'!U31+'13'!U31+'14'!U31+'15'!U31</f>
        <v>8108244.0000000009</v>
      </c>
      <c r="U5" s="79">
        <f>+'6'!V31+'7'!V31+'8'!V31+'9'!V31+'10'!V31+'11'!V31+'12'!V31+'13'!V31+'14'!V31+'15'!V31</f>
        <v>1428911</v>
      </c>
      <c r="V5" s="79">
        <f>+'6'!W31+'7'!W31+'8'!W31+'9'!W31+'10'!W31+'11'!W31+'12'!W31+'13'!W31+'14'!W31+'15'!W31</f>
        <v>9.9999999999999999E-93</v>
      </c>
      <c r="W5" s="79">
        <f>+'6'!X31+'7'!X31+'8'!X31+'9'!X31+'10'!X31+'11'!X31+'12'!X31+'13'!X31+'14'!X31+'15'!X31</f>
        <v>380421</v>
      </c>
      <c r="X5" s="79">
        <f>+'6'!Y31+'7'!Y31+'8'!Y31+'9'!Y31+'10'!Y31+'11'!Y31+'12'!Y31+'13'!Y31+'14'!Y31+'15'!Y31</f>
        <v>29207782</v>
      </c>
    </row>
    <row r="6" spans="1:26" x14ac:dyDescent="0.25">
      <c r="A6" t="s">
        <v>63</v>
      </c>
      <c r="B6" s="115" t="s">
        <v>90</v>
      </c>
      <c r="C6" s="79">
        <f>+'16'!C31+'17'!C31+'18'!C31+'19'!C31+'20'!C31</f>
        <v>61894</v>
      </c>
      <c r="D6" s="79">
        <f>+'16'!D31+'17'!D31+'18'!D31+'19'!D31+'20'!D31</f>
        <v>402</v>
      </c>
      <c r="E6" s="79">
        <f>+'16'!E31+'17'!E31+'18'!E31+'19'!E31+'20'!E31</f>
        <v>64859</v>
      </c>
      <c r="F6" s="79">
        <f>+'16'!F31+'17'!F31+'18'!F31+'19'!F31+'20'!F31</f>
        <v>179887</v>
      </c>
      <c r="G6" s="79">
        <f>+'16'!G31+'17'!G31+'18'!G31+'19'!G31+'20'!G31</f>
        <v>301848</v>
      </c>
      <c r="H6" s="79">
        <f>+'16'!H31+'17'!H31+'18'!H31+'19'!H31+'20'!H31</f>
        <v>77218</v>
      </c>
      <c r="I6" s="79">
        <f>+'16'!I31+'17'!I31+'18'!I31+'19'!I31+'20'!I31</f>
        <v>0</v>
      </c>
      <c r="J6" s="79">
        <f>+'16'!J31+'17'!J31+'18'!J31+'19'!J31+'20'!J31</f>
        <v>2032834</v>
      </c>
      <c r="K6" s="79">
        <f>+'16'!K31+'17'!K31+'18'!K31+'19'!K31+'20'!K31</f>
        <v>0</v>
      </c>
      <c r="L6" s="79">
        <f>+'16'!L31+'17'!L31+'18'!L31+'19'!L31+'20'!L31</f>
        <v>0</v>
      </c>
      <c r="M6" s="79">
        <f>+'16'!M31+'17'!M31+'18'!M31+'19'!M31+'20'!M31</f>
        <v>0</v>
      </c>
      <c r="N6" s="79">
        <f>+'16'!N31+'17'!N31+'18'!N31+'19'!N31+'20'!N31</f>
        <v>602678</v>
      </c>
      <c r="O6" s="79">
        <f>+'16'!O31+'17'!O31+'18'!O31+'19'!O31+'20'!O31</f>
        <v>2454337</v>
      </c>
      <c r="P6" s="79">
        <f>+'16'!P31+'17'!P31+'18'!P31+'19'!P31+'20'!P31</f>
        <v>0</v>
      </c>
      <c r="Q6" s="79">
        <f>+'16'!Q31+'17'!Q31+'18'!Q31+'19'!Q31+'20'!Q31</f>
        <v>24730</v>
      </c>
      <c r="R6" s="79">
        <f>+'16'!R31+'17'!R31+'18'!R31+'19'!R31+'20'!R31</f>
        <v>11603</v>
      </c>
      <c r="S6" s="79">
        <f>+'16'!S31+'17'!S31+'18'!S31+'19'!S31+'20'!S31</f>
        <v>5812290</v>
      </c>
      <c r="T6" s="79">
        <f>+'16'!U31+'17'!U31+'18'!U31+'19'!U31+'20'!U31</f>
        <v>2271022</v>
      </c>
      <c r="U6" s="79">
        <f>+'16'!V31+'17'!V31+'18'!V31+'19'!V31+'20'!V31</f>
        <v>389519</v>
      </c>
      <c r="V6" s="79">
        <f>+'16'!W31+'17'!W31+'18'!W31+'19'!W31+'20'!W31</f>
        <v>0</v>
      </c>
      <c r="W6" s="79">
        <f>+'16'!X31+'17'!X31+'18'!X31+'19'!X31+'20'!X31</f>
        <v>120915</v>
      </c>
      <c r="X6" s="79">
        <f>+'16'!Y31+'17'!Y31+'18'!Y31+'19'!Y31+'20'!Y31</f>
        <v>8593746</v>
      </c>
    </row>
    <row r="7" spans="1:26" x14ac:dyDescent="0.25">
      <c r="A7" t="s">
        <v>63</v>
      </c>
      <c r="B7" s="115" t="s">
        <v>91</v>
      </c>
      <c r="C7" s="79">
        <f>+'21'!C31+'22'!C31+'23'!C31+'24'!C31+'25'!C31</f>
        <v>4257</v>
      </c>
      <c r="D7" s="79">
        <f>+'21'!D31+'22'!D31+'23'!D31+'24'!D31+'25'!D31</f>
        <v>0</v>
      </c>
      <c r="E7" s="79">
        <f>+'21'!E31+'22'!E31+'23'!E31+'24'!E31+'25'!E31</f>
        <v>19687</v>
      </c>
      <c r="F7" s="79">
        <f>+'21'!F31+'22'!F31+'23'!F31+'24'!F31+'25'!F31</f>
        <v>147518</v>
      </c>
      <c r="G7" s="79">
        <f>+'21'!G31+'22'!G31+'23'!G31+'24'!G31+'25'!G31</f>
        <v>104746</v>
      </c>
      <c r="H7" s="79">
        <f>+'21'!H31+'22'!H31+'23'!H31+'24'!H31+'25'!H31</f>
        <v>237267</v>
      </c>
      <c r="I7" s="79">
        <f>+'21'!I31+'22'!I31+'23'!I31+'24'!I31+'25'!I31</f>
        <v>0</v>
      </c>
      <c r="J7" s="79">
        <f>+'21'!J31+'22'!J31+'23'!J31+'24'!J31+'25'!J31</f>
        <v>4624571</v>
      </c>
      <c r="K7" s="79">
        <f>+'21'!K31+'22'!K31+'23'!K31+'24'!K31+'25'!K31</f>
        <v>663024</v>
      </c>
      <c r="L7" s="79">
        <f>+'21'!L31+'22'!L31+'23'!L31+'24'!L31+'25'!L31</f>
        <v>0</v>
      </c>
      <c r="M7" s="79">
        <f>+'21'!M31+'22'!M31+'23'!M31+'24'!M31+'25'!M31</f>
        <v>0</v>
      </c>
      <c r="N7" s="79">
        <f>+'21'!N31+'22'!N31+'23'!N31+'24'!N31+'25'!N31</f>
        <v>0</v>
      </c>
      <c r="O7" s="79">
        <f>+'21'!O31+'22'!O31+'23'!O31+'24'!O31+'25'!O31</f>
        <v>59590</v>
      </c>
      <c r="P7" s="79">
        <f>+'21'!P31+'22'!P31+'23'!P31+'24'!P31+'25'!P31</f>
        <v>46755</v>
      </c>
      <c r="Q7" s="79">
        <f>+'21'!Q31+'22'!Q31+'23'!Q31+'24'!Q31+'25'!Q31</f>
        <v>8488</v>
      </c>
      <c r="R7" s="79">
        <f>+'21'!R31+'22'!R31+'23'!R31+'24'!R31+'25'!R31</f>
        <v>0</v>
      </c>
      <c r="S7" s="79">
        <f>+'21'!S31+'22'!S31+'23'!S31+'24'!S31+'25'!S31</f>
        <v>5915903</v>
      </c>
      <c r="T7" s="79">
        <f>+'21'!U31+'22'!U31+'23'!U31+'24'!U31+'25'!U31</f>
        <v>4713263</v>
      </c>
      <c r="U7" s="79">
        <f>+'21'!V31+'22'!V31+'23'!V31+'24'!V31+'25'!V31</f>
        <v>1026114</v>
      </c>
      <c r="V7" s="79">
        <f>+'21'!W31+'22'!W31+'23'!W31+'24'!W31+'25'!W31</f>
        <v>0</v>
      </c>
      <c r="W7" s="79">
        <f>+'21'!X31+'22'!X31+'23'!X31+'24'!X31+'25'!X31</f>
        <v>135227</v>
      </c>
      <c r="X7" s="79">
        <f>+'21'!Y31+'22'!Y31+'23'!Y31+'24'!Y31+'25'!Y31</f>
        <v>11790507</v>
      </c>
    </row>
    <row r="8" spans="1:26" x14ac:dyDescent="0.25">
      <c r="A8" t="s">
        <v>63</v>
      </c>
      <c r="B8" s="115" t="s">
        <v>92</v>
      </c>
      <c r="C8" s="79">
        <f>+'26'!C31+'27'!C31+'28'!C31+'29'!C31+'30'!C31+'31'!C31+'32'!C31</f>
        <v>246599.85305862181</v>
      </c>
      <c r="D8" s="79">
        <f>+'26'!D31+'27'!D31+'28'!D31+'29'!D31+'30'!D31+'31'!D31+'32'!D31</f>
        <v>66.680693787929243</v>
      </c>
      <c r="E8" s="79">
        <f>+'26'!E31+'27'!E31+'28'!E31+'29'!E31+'30'!E31+'31'!E31+'32'!E31</f>
        <v>43221.382527929287</v>
      </c>
      <c r="F8" s="79">
        <f>+'26'!F31+'27'!F31+'28'!F31+'29'!F31+'30'!F31+'31'!F31+'32'!F31</f>
        <v>2085711.6504528101</v>
      </c>
      <c r="G8" s="79">
        <f>+'26'!G31+'27'!G31+'28'!G31+'29'!G31+'30'!G31+'31'!G31+'32'!G31</f>
        <v>895734.94282255694</v>
      </c>
      <c r="H8" s="79">
        <f>+'26'!H31+'27'!H31+'28'!H31+'29'!H31+'30'!H31+'31'!H31+'32'!H31</f>
        <v>284676.19644725462</v>
      </c>
      <c r="I8" s="79">
        <f>+'26'!I31+'27'!I31+'28'!I31+'29'!I31+'30'!I31+'31'!I31+'32'!I31</f>
        <v>6712661</v>
      </c>
      <c r="J8" s="79">
        <f>+'26'!J31+'27'!J31+'28'!J31+'29'!J31+'30'!J31+'31'!J31+'32'!J31</f>
        <v>5149369.8954778314</v>
      </c>
      <c r="K8" s="79">
        <f>+'26'!K31+'27'!K31+'28'!K31+'29'!K31+'30'!K31+'31'!K31+'32'!K31</f>
        <v>1244562</v>
      </c>
      <c r="L8" s="79">
        <f>+'26'!L31+'27'!L31+'28'!L31+'29'!L31+'30'!L31+'31'!L31+'32'!L31</f>
        <v>454236.37237891776</v>
      </c>
      <c r="M8" s="79">
        <f>+'26'!M31+'27'!M31+'28'!M31+'29'!M31+'30'!M31+'31'!M31+'32'!M31</f>
        <v>0</v>
      </c>
      <c r="N8" s="79">
        <f>+'26'!N31+'27'!N31+'28'!N31+'29'!N31+'30'!N31+'31'!N31+'32'!N31</f>
        <v>4050</v>
      </c>
      <c r="O8" s="79">
        <f>+'26'!O31+'27'!O31+'28'!O31+'29'!O31+'30'!O31+'31'!O31+'32'!O31</f>
        <v>159102</v>
      </c>
      <c r="P8" s="79">
        <f>+'26'!P31+'27'!P31+'28'!P31+'29'!P31+'30'!P31+'31'!P31+'32'!P31</f>
        <v>0</v>
      </c>
      <c r="Q8" s="79">
        <f>+'26'!Q31+'27'!Q31+'28'!Q31+'29'!Q31+'30'!Q31+'31'!Q31+'32'!Q31</f>
        <v>68467</v>
      </c>
      <c r="R8" s="79">
        <f>+'26'!R31+'27'!R31+'28'!R31+'29'!R31+'30'!R31+'31'!R31+'32'!R31</f>
        <v>1557058</v>
      </c>
      <c r="S8" s="79">
        <f>+'26'!S31+'27'!S31+'28'!S31+'29'!S31+'30'!S31+'31'!S31+'32'!S31</f>
        <v>18905516.973859709</v>
      </c>
      <c r="T8" s="79">
        <f>+'26'!U31+'27'!U31+'28'!U31+'29'!U31+'30'!U31+'31'!U31+'32'!U31</f>
        <v>4364486</v>
      </c>
      <c r="U8" s="79">
        <f>+'26'!V31+'27'!V31+'28'!V31+'29'!V31+'30'!V31+'31'!V31+'32'!V31</f>
        <v>218272</v>
      </c>
      <c r="V8" s="79">
        <f>+'26'!W31+'27'!W31+'28'!W31+'29'!W31+'30'!W31+'31'!W31+'32'!W31</f>
        <v>0</v>
      </c>
      <c r="W8" s="79">
        <f>+'26'!X31+'27'!X31+'28'!X31+'29'!X31+'30'!X31+'31'!X31+'32'!X31</f>
        <v>88792</v>
      </c>
      <c r="X8" s="79">
        <f>+'26'!Y31+'27'!Y31+'28'!Y31+'29'!Y31+'30'!Y31+'31'!Y31+'32'!Y31</f>
        <v>23577066.973859709</v>
      </c>
    </row>
    <row r="9" spans="1:26" x14ac:dyDescent="0.25">
      <c r="A9" t="s">
        <v>63</v>
      </c>
      <c r="B9" s="115" t="s">
        <v>93</v>
      </c>
      <c r="C9" s="79">
        <f>+'33'!C31+'34'!C31+'35'!C31+'36'!C31+'37'!C31+'38'!C31+'39'!C31+'40'!C31+'41'!C31</f>
        <v>482446</v>
      </c>
      <c r="D9" s="79">
        <f>+'33'!D31+'34'!D31+'35'!D31+'36'!D31+'37'!D31+'38'!D31+'39'!D31+'40'!D31+'41'!D31</f>
        <v>2146</v>
      </c>
      <c r="E9" s="79">
        <f>+'33'!E31+'34'!E31+'35'!E31+'36'!E31+'37'!E31+'38'!E31+'39'!E31+'40'!E31+'41'!E31</f>
        <v>297311</v>
      </c>
      <c r="F9" s="79">
        <f>+'33'!F31+'34'!F31+'35'!F31+'36'!F31+'37'!F31+'38'!F31+'39'!F31+'40'!F31+'41'!F31</f>
        <v>610882</v>
      </c>
      <c r="G9" s="79">
        <f>+'33'!G31+'34'!G31+'35'!G31+'36'!G31+'37'!G31+'38'!G31+'39'!G31+'40'!G31+'41'!G31</f>
        <v>1616339</v>
      </c>
      <c r="H9" s="79">
        <f>+'33'!H31+'34'!H31+'35'!H31+'36'!H31+'37'!H31+'38'!H31+'39'!H31+'40'!H31+'41'!H31</f>
        <v>190710</v>
      </c>
      <c r="I9" s="79">
        <f>+'33'!I31+'34'!I31+'35'!I31+'36'!I31+'37'!I31+'38'!I31+'39'!I31+'40'!I31+'41'!I31</f>
        <v>0</v>
      </c>
      <c r="J9" s="79">
        <f>+'33'!J31+'34'!J31+'35'!J31+'36'!J31+'37'!J31+'38'!J31+'39'!J31+'40'!J31+'41'!J31</f>
        <v>4249841</v>
      </c>
      <c r="K9" s="79">
        <f>+'33'!K31+'34'!K31+'35'!K31+'36'!K31+'37'!K31+'38'!K31+'39'!K31+'40'!K31+'41'!K31</f>
        <v>0</v>
      </c>
      <c r="L9" s="79">
        <f>+'33'!L31+'34'!L31+'35'!L31+'36'!L31+'37'!L31+'38'!L31+'39'!L31+'40'!L31+'41'!L31</f>
        <v>0</v>
      </c>
      <c r="M9" s="79">
        <f>+'33'!M31+'34'!M31+'35'!M31+'36'!M31+'37'!M31+'38'!M31+'39'!M31+'40'!M31+'41'!M31</f>
        <v>0</v>
      </c>
      <c r="N9" s="79">
        <f>+'33'!N31+'34'!N31+'35'!N31+'36'!N31+'37'!N31+'38'!N31+'39'!N31+'40'!N31+'41'!N31</f>
        <v>33415</v>
      </c>
      <c r="O9" s="79">
        <f>+'33'!O31+'34'!O31+'35'!O31+'36'!O31+'37'!O31+'38'!O31+'39'!O31+'40'!O31+'41'!O31</f>
        <v>480640</v>
      </c>
      <c r="P9" s="79">
        <f>+'33'!P31+'34'!P31+'35'!P31+'36'!P31+'37'!P31+'38'!P31+'39'!P31+'40'!P31+'41'!P31</f>
        <v>7445</v>
      </c>
      <c r="Q9" s="79">
        <f>+'33'!Q31+'34'!Q31+'35'!Q31+'36'!Q31+'37'!Q31+'38'!Q31+'39'!Q31+'40'!Q31+'41'!Q31</f>
        <v>130774</v>
      </c>
      <c r="R9" s="79">
        <f>+'33'!R31+'34'!R31+'35'!R31+'36'!R31+'37'!R31+'38'!R31+'39'!R31+'40'!R31+'41'!R31</f>
        <v>10240</v>
      </c>
      <c r="S9" s="79">
        <f>+'33'!S31+'34'!S31+'35'!S31+'36'!S31+'37'!S31+'38'!S31+'39'!S31+'40'!S31+'41'!S31</f>
        <v>8112189</v>
      </c>
      <c r="T9" s="79">
        <f>+'33'!U31+'34'!U31+'35'!U31+'36'!U31+'37'!U31+'38'!U31+'39'!U31+'40'!U31+'41'!U31</f>
        <v>6599758</v>
      </c>
      <c r="U9" s="79">
        <f>+'33'!V31+'34'!V31+'35'!V31+'36'!V31+'37'!V31+'38'!V31+'39'!V31+'40'!V31+'41'!V31</f>
        <v>1259305</v>
      </c>
      <c r="V9" s="79">
        <f>+'33'!W31+'34'!W31+'35'!W31+'36'!W31+'37'!W31+'38'!W31+'39'!W31+'40'!W31+'41'!W31</f>
        <v>0</v>
      </c>
      <c r="W9" s="79">
        <f>+'33'!X31+'34'!X31+'35'!X31+'36'!X31+'37'!X31+'38'!X31+'39'!X31+'40'!X31+'41'!X31</f>
        <v>428612</v>
      </c>
      <c r="X9" s="79">
        <f>+'33'!Y31+'34'!Y31+'35'!Y31+'36'!Y31+'37'!Y31+'38'!Y31+'39'!Y31+'40'!Y31+'41'!Y31</f>
        <v>16399864</v>
      </c>
    </row>
    <row r="10" spans="1:26" x14ac:dyDescent="0.25">
      <c r="A10" t="s">
        <v>63</v>
      </c>
      <c r="B10" s="115" t="s">
        <v>94</v>
      </c>
      <c r="C10" s="79">
        <f>+'42'!C31+'43'!C31+'44'!C31+'45'!C31</f>
        <v>30839</v>
      </c>
      <c r="D10" s="79">
        <f>+'42'!D31+'43'!D31+'44'!D31+'45'!D31</f>
        <v>11318</v>
      </c>
      <c r="E10" s="79">
        <f>+'42'!E31+'43'!E31+'44'!E31+'45'!E31</f>
        <v>135569</v>
      </c>
      <c r="F10" s="79">
        <f>+'42'!F31+'43'!F31+'44'!F31+'45'!F31</f>
        <v>49090</v>
      </c>
      <c r="G10" s="79">
        <f>+'42'!G31+'43'!G31+'44'!G31+'45'!G31</f>
        <v>708652</v>
      </c>
      <c r="H10" s="79">
        <f>+'42'!H31+'43'!H31+'44'!H31+'45'!H31</f>
        <v>13337</v>
      </c>
      <c r="I10" s="79">
        <f>+'42'!I31+'43'!I31+'44'!I31+'45'!I31</f>
        <v>0</v>
      </c>
      <c r="J10" s="79">
        <f>+'42'!J31+'43'!J31+'44'!J31+'45'!J31</f>
        <v>315317</v>
      </c>
      <c r="K10" s="79">
        <f>+'42'!K31+'43'!K31+'44'!K31+'45'!K31</f>
        <v>0</v>
      </c>
      <c r="L10" s="79">
        <f>+'42'!L31+'43'!L31+'44'!L31+'45'!L31</f>
        <v>0</v>
      </c>
      <c r="M10" s="79">
        <f>+'42'!M31+'43'!M31+'44'!M31+'45'!M31</f>
        <v>0</v>
      </c>
      <c r="N10" s="79">
        <f>+'42'!N31+'43'!N31+'44'!N31+'45'!N31</f>
        <v>107807</v>
      </c>
      <c r="O10" s="79">
        <f>+'42'!O31+'43'!O31+'44'!O31+'45'!O31</f>
        <v>1494766</v>
      </c>
      <c r="P10" s="79">
        <f>+'42'!P31+'43'!P31+'44'!P31+'45'!P31</f>
        <v>0</v>
      </c>
      <c r="Q10" s="79">
        <f>+'42'!Q31+'43'!Q31+'44'!Q31+'45'!Q31</f>
        <v>57508</v>
      </c>
      <c r="R10" s="79">
        <f>+'42'!R31+'43'!R31+'44'!R31+'45'!R31</f>
        <v>104</v>
      </c>
      <c r="S10" s="79">
        <f>+'42'!S31+'43'!S31+'44'!S31+'45'!S31</f>
        <v>2924307</v>
      </c>
      <c r="T10" s="79">
        <f>+'42'!U31+'43'!U31+'44'!U31+'45'!U31</f>
        <v>1279945</v>
      </c>
      <c r="U10" s="79">
        <f>+'42'!V31+'43'!V31+'44'!V31+'45'!V31</f>
        <v>305062</v>
      </c>
      <c r="V10" s="79">
        <f>+'42'!W31+'43'!W31+'44'!W31+'45'!W31</f>
        <v>0</v>
      </c>
      <c r="W10" s="79">
        <f>+'42'!X31+'43'!X31+'44'!X31+'45'!X31</f>
        <v>89860</v>
      </c>
      <c r="X10" s="79">
        <f>+'42'!Y31+'43'!Y31+'44'!Y31+'45'!Y31</f>
        <v>4599174</v>
      </c>
    </row>
    <row r="11" spans="1:26" x14ac:dyDescent="0.25">
      <c r="A11" t="s">
        <v>63</v>
      </c>
      <c r="B11" s="115" t="s">
        <v>88</v>
      </c>
      <c r="C11" s="79">
        <f>SUM(C5:C10)</f>
        <v>1149997.8530586218</v>
      </c>
      <c r="D11" s="79">
        <f t="shared" ref="D11:S11" si="0">SUM(D5:D10)</f>
        <v>14947.68069378793</v>
      </c>
      <c r="E11" s="79">
        <f t="shared" si="0"/>
        <v>606636.38252792927</v>
      </c>
      <c r="F11" s="79">
        <f t="shared" si="0"/>
        <v>4149725.6504528103</v>
      </c>
      <c r="G11" s="79">
        <f t="shared" si="0"/>
        <v>4646971.9428225569</v>
      </c>
      <c r="H11" s="79">
        <f t="shared" si="0"/>
        <v>3420087.1964472546</v>
      </c>
      <c r="I11" s="79">
        <f t="shared" si="0"/>
        <v>6712661</v>
      </c>
      <c r="J11" s="79">
        <f t="shared" si="0"/>
        <v>27680679.895477831</v>
      </c>
      <c r="K11" s="79">
        <f t="shared" si="0"/>
        <v>3042377</v>
      </c>
      <c r="L11" s="79">
        <f t="shared" si="0"/>
        <v>605894.37237891776</v>
      </c>
      <c r="M11" s="79">
        <f>SUM(M5:M10)</f>
        <v>9.9999999999999999E-93</v>
      </c>
      <c r="N11" s="79">
        <f t="shared" si="0"/>
        <v>861811</v>
      </c>
      <c r="O11" s="79">
        <f t="shared" si="0"/>
        <v>5944149</v>
      </c>
      <c r="P11" s="79">
        <f t="shared" si="0"/>
        <v>140869</v>
      </c>
      <c r="Q11" s="79">
        <f t="shared" si="0"/>
        <v>367799</v>
      </c>
      <c r="R11" s="79">
        <f t="shared" si="0"/>
        <v>1615805</v>
      </c>
      <c r="S11" s="79">
        <f t="shared" si="0"/>
        <v>60960411.973859712</v>
      </c>
      <c r="T11" s="79">
        <f>SUM(T5:T10)</f>
        <v>27336718</v>
      </c>
      <c r="U11" s="79">
        <f>SUM(U5:U10)</f>
        <v>4627183</v>
      </c>
      <c r="V11" s="79">
        <f>SUM(V5:V10)</f>
        <v>9.9999999999999999E-93</v>
      </c>
      <c r="W11" s="79">
        <f>SUM(W5:W10)</f>
        <v>1243827</v>
      </c>
      <c r="X11" s="79">
        <f t="shared" ref="X11" si="1">SUM(X5:X10)</f>
        <v>94168139.973859712</v>
      </c>
    </row>
    <row r="12" spans="1:26" x14ac:dyDescent="0.25">
      <c r="A12" t="s">
        <v>67</v>
      </c>
      <c r="B12" s="115" t="s">
        <v>85</v>
      </c>
      <c r="C12" s="79">
        <f>+'46'!C31+'47'!C31+'48'!C31</f>
        <v>54937</v>
      </c>
      <c r="D12" s="79">
        <f>+'46'!D31+'47'!D31+'48'!D31</f>
        <v>0</v>
      </c>
      <c r="E12" s="79">
        <f>+'46'!E31+'47'!E31+'48'!E31</f>
        <v>1630764</v>
      </c>
      <c r="F12" s="79">
        <f>+'46'!F31+'47'!F31+'48'!F31</f>
        <v>409150</v>
      </c>
      <c r="G12" s="79">
        <f>+'46'!G31+'47'!G31+'48'!G31</f>
        <v>9027549</v>
      </c>
      <c r="H12" s="79">
        <f>+'46'!H31+'47'!H31+'48'!H31</f>
        <v>2395</v>
      </c>
      <c r="I12" s="79">
        <f>+'46'!I31+'47'!I31+'48'!I31</f>
        <v>0</v>
      </c>
      <c r="J12" s="79">
        <f>+'46'!J31+'47'!J31+'48'!J31</f>
        <v>1896315</v>
      </c>
      <c r="K12" s="79">
        <f>+'46'!K31+'47'!K31+'48'!K31</f>
        <v>0</v>
      </c>
      <c r="L12" s="79">
        <f>+'46'!L31+'47'!L31+'48'!L31</f>
        <v>0</v>
      </c>
      <c r="M12" s="79">
        <f>+'46'!M31+'47'!M31+'48'!M31</f>
        <v>0</v>
      </c>
      <c r="N12" s="79">
        <f>+'46'!N31+'47'!N31+'48'!N31</f>
        <v>0</v>
      </c>
      <c r="O12" s="79">
        <f>+'46'!O31+'47'!O31+'48'!O31</f>
        <v>0</v>
      </c>
      <c r="P12" s="79">
        <f>+'46'!P31+'47'!P31+'48'!P31</f>
        <v>0</v>
      </c>
      <c r="Q12" s="79">
        <f>+'46'!Q31+'47'!Q31+'48'!Q31</f>
        <v>729418</v>
      </c>
      <c r="R12" s="79">
        <f>+'46'!R31+'47'!R31+'48'!R31</f>
        <v>0</v>
      </c>
      <c r="S12" s="79">
        <f>+'46'!S31+'47'!S31+'48'!S31</f>
        <v>13750528</v>
      </c>
      <c r="T12" s="79">
        <f>+'46'!U31+'47'!U31+'48'!U31</f>
        <v>12348486</v>
      </c>
      <c r="U12" s="79">
        <f>+'46'!V31+'47'!V31+'48'!V31</f>
        <v>7897619</v>
      </c>
      <c r="V12" s="79">
        <f>+'46'!W31+'47'!W31+'48'!W31</f>
        <v>0</v>
      </c>
      <c r="W12" s="79">
        <f>+'46'!X31+'47'!X31+'48'!X31</f>
        <v>0</v>
      </c>
      <c r="X12" s="79">
        <f>+'46'!Y31+'47'!Y31+'48'!Y31</f>
        <v>33996633</v>
      </c>
    </row>
    <row r="13" spans="1:26" x14ac:dyDescent="0.25">
      <c r="A13" t="s">
        <v>67</v>
      </c>
      <c r="B13" s="115" t="s">
        <v>86</v>
      </c>
      <c r="C13" s="79">
        <f>+'49'!C31+'50'!C31+'51'!C31+'52'!C31+'53'!C31+'54'!C31+'55'!C31+'56'!C31+'57'!C31</f>
        <v>85147</v>
      </c>
      <c r="D13" s="79">
        <f>+'49'!D31+'50'!D31+'51'!D31+'52'!D31+'53'!D31+'54'!D31+'55'!D31+'56'!D31+'57'!D31</f>
        <v>0</v>
      </c>
      <c r="E13" s="79">
        <f>+'49'!E31+'50'!E31+'51'!E31+'52'!E31+'53'!E31+'54'!E31+'55'!E31+'56'!E31+'57'!E31</f>
        <v>1280587</v>
      </c>
      <c r="F13" s="79">
        <f>+'49'!F31+'50'!F31+'51'!F31+'52'!F31+'53'!F31+'54'!F31+'55'!F31+'56'!F31+'57'!F31</f>
        <v>598804</v>
      </c>
      <c r="G13" s="79">
        <f>+'49'!G31+'50'!G31+'51'!G31+'52'!G31+'53'!G31+'54'!G31+'55'!G31+'56'!G31+'57'!G31</f>
        <v>7337870</v>
      </c>
      <c r="H13" s="79">
        <f>+'49'!H31+'50'!H31+'51'!H31+'52'!H31+'53'!H31+'54'!H31+'55'!H31+'56'!H31+'57'!H31</f>
        <v>48890</v>
      </c>
      <c r="I13" s="79">
        <f>+'49'!I31+'50'!I31+'51'!I31+'52'!I31+'53'!I31+'54'!I31+'55'!I31+'56'!I31+'57'!I31</f>
        <v>0</v>
      </c>
      <c r="J13" s="79">
        <f>+'49'!J31+'50'!J31+'51'!J31+'52'!J31+'53'!J31+'54'!J31+'55'!J31+'56'!J31+'57'!J31</f>
        <v>2283856</v>
      </c>
      <c r="K13" s="79">
        <f>+'49'!K31+'50'!K31+'51'!K31+'52'!K31+'53'!K31+'54'!K31+'55'!K31+'56'!K31+'57'!K31</f>
        <v>0</v>
      </c>
      <c r="L13" s="79">
        <f>+'49'!L31+'50'!L31+'51'!L31+'52'!L31+'53'!L31+'54'!L31+'55'!L31+'56'!L31+'57'!L31</f>
        <v>0</v>
      </c>
      <c r="M13" s="79">
        <f>+'49'!M31+'50'!M31+'51'!M31+'52'!M31+'53'!M31+'54'!M31+'55'!M31+'56'!M31+'57'!M31</f>
        <v>0</v>
      </c>
      <c r="N13" s="79">
        <f>+'49'!N31+'50'!N31+'51'!N31+'52'!N31+'53'!N31+'54'!N31+'55'!N31+'56'!N31+'57'!N31</f>
        <v>0</v>
      </c>
      <c r="O13" s="79">
        <f>+'49'!O31+'50'!O31+'51'!O31+'52'!O31+'53'!O31+'54'!O31+'55'!O31+'56'!O31+'57'!O31</f>
        <v>0</v>
      </c>
      <c r="P13" s="79">
        <f>+'49'!P31+'50'!P31+'51'!P31+'52'!P31+'53'!P31+'54'!P31+'55'!P31+'56'!P31+'57'!P31</f>
        <v>0</v>
      </c>
      <c r="Q13" s="79">
        <f>+'49'!Q31+'50'!Q31+'51'!Q31+'52'!Q31+'53'!Q31+'54'!Q31+'55'!Q31+'56'!Q31+'57'!Q31</f>
        <v>591811</v>
      </c>
      <c r="R13" s="79">
        <f>+'49'!R31+'50'!R31+'51'!R31+'52'!R31+'53'!R31+'54'!R31+'55'!R31+'56'!R31+'57'!R31</f>
        <v>0</v>
      </c>
      <c r="S13" s="79">
        <f>+'49'!S31+'50'!S31+'51'!S31+'52'!S31+'53'!S31+'54'!S31+'55'!S31+'56'!S31+'57'!S31</f>
        <v>12226965</v>
      </c>
      <c r="T13" s="79">
        <f>+'49'!U31+'50'!U31+'51'!U31+'52'!U31+'53'!U31+'54'!U31+'55'!U31+'56'!U31+'57'!U31</f>
        <v>11505060</v>
      </c>
      <c r="U13" s="79">
        <f>+'49'!V31+'50'!V31+'51'!V31+'52'!V31+'53'!V31+'54'!V31+'55'!V31+'56'!V31+'57'!V31</f>
        <v>10124912</v>
      </c>
      <c r="V13" s="79">
        <f>+'49'!W31+'50'!W31+'51'!W31+'52'!W31+'53'!W31+'54'!W31+'55'!W31+'56'!W31+'57'!W31</f>
        <v>0</v>
      </c>
      <c r="W13" s="79">
        <f>+'49'!X31+'50'!X31+'51'!X31+'52'!X31+'53'!X31+'54'!X31+'55'!X31+'56'!X31+'57'!X31</f>
        <v>0</v>
      </c>
      <c r="X13" s="79">
        <f>+'49'!Y31+'50'!Y31+'51'!Y31+'52'!Y31+'53'!Y31+'54'!Y31+'55'!Y31+'56'!Y31+'57'!Y31</f>
        <v>33856937</v>
      </c>
    </row>
    <row r="14" spans="1:26" x14ac:dyDescent="0.25">
      <c r="A14" t="s">
        <v>67</v>
      </c>
      <c r="B14" s="116" t="s">
        <v>71</v>
      </c>
      <c r="C14" s="79">
        <f>SUM(C12:C13)</f>
        <v>140084</v>
      </c>
      <c r="D14" s="79">
        <f t="shared" ref="D14:S14" si="2">SUM(D12:D13)</f>
        <v>0</v>
      </c>
      <c r="E14" s="79">
        <f t="shared" si="2"/>
        <v>2911351</v>
      </c>
      <c r="F14" s="79">
        <f t="shared" si="2"/>
        <v>1007954</v>
      </c>
      <c r="G14" s="79">
        <f t="shared" si="2"/>
        <v>16365419</v>
      </c>
      <c r="H14" s="79">
        <f t="shared" si="2"/>
        <v>51285</v>
      </c>
      <c r="I14" s="79">
        <f t="shared" si="2"/>
        <v>0</v>
      </c>
      <c r="J14" s="79">
        <f t="shared" si="2"/>
        <v>4180171</v>
      </c>
      <c r="K14" s="79">
        <f t="shared" si="2"/>
        <v>0</v>
      </c>
      <c r="L14" s="79">
        <f t="shared" si="2"/>
        <v>0</v>
      </c>
      <c r="M14" s="79">
        <f t="shared" si="2"/>
        <v>0</v>
      </c>
      <c r="N14" s="79">
        <f t="shared" si="2"/>
        <v>0</v>
      </c>
      <c r="O14" s="79">
        <f t="shared" si="2"/>
        <v>0</v>
      </c>
      <c r="P14" s="79">
        <f t="shared" si="2"/>
        <v>0</v>
      </c>
      <c r="Q14" s="79">
        <f t="shared" si="2"/>
        <v>1321229</v>
      </c>
      <c r="R14" s="79">
        <f t="shared" si="2"/>
        <v>0</v>
      </c>
      <c r="S14" s="79">
        <f t="shared" si="2"/>
        <v>25977493</v>
      </c>
      <c r="T14" s="79">
        <f>SUM(T12:T13)</f>
        <v>23853546</v>
      </c>
      <c r="U14" s="79">
        <f>SUM(U12:U13)</f>
        <v>18022531</v>
      </c>
      <c r="V14" s="79">
        <f>SUM(V12:V13)</f>
        <v>0</v>
      </c>
      <c r="W14" s="79">
        <f>SUM(W12:W13)</f>
        <v>0</v>
      </c>
      <c r="X14" s="79">
        <f t="shared" ref="X14" si="3">SUM(X12:X13)</f>
        <v>67853570</v>
      </c>
    </row>
    <row r="15" spans="1:26" x14ac:dyDescent="0.25">
      <c r="B15" s="115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</row>
    <row r="16" spans="1:26" x14ac:dyDescent="0.25">
      <c r="A16" s="105" t="s">
        <v>95</v>
      </c>
      <c r="B16" s="117" t="s">
        <v>69</v>
      </c>
      <c r="C16" s="118">
        <f>+C4+C11+C14</f>
        <v>1436407.8530586218</v>
      </c>
      <c r="D16" s="118">
        <f t="shared" ref="D16:S16" si="4">+D4+D11+D14</f>
        <v>48257.68069378793</v>
      </c>
      <c r="E16" s="118">
        <f t="shared" si="4"/>
        <v>4054637.3825279293</v>
      </c>
      <c r="F16" s="118">
        <f t="shared" si="4"/>
        <v>15095168.412952811</v>
      </c>
      <c r="G16" s="118">
        <f>+G4+G11+G14</f>
        <v>33043228.180322554</v>
      </c>
      <c r="H16" s="118">
        <f t="shared" si="4"/>
        <v>3812385.1964472546</v>
      </c>
      <c r="I16" s="118">
        <f t="shared" si="4"/>
        <v>6712661</v>
      </c>
      <c r="J16" s="118">
        <f t="shared" si="4"/>
        <v>33407160.895477831</v>
      </c>
      <c r="K16" s="118">
        <f t="shared" si="4"/>
        <v>4217241</v>
      </c>
      <c r="L16" s="118">
        <f t="shared" si="4"/>
        <v>605894.37237891776</v>
      </c>
      <c r="M16" s="118">
        <f t="shared" si="4"/>
        <v>1927665</v>
      </c>
      <c r="N16" s="118">
        <f t="shared" si="4"/>
        <v>888691</v>
      </c>
      <c r="O16" s="118">
        <f t="shared" si="4"/>
        <v>6121612</v>
      </c>
      <c r="P16" s="118">
        <f t="shared" si="4"/>
        <v>259682</v>
      </c>
      <c r="Q16" s="118">
        <f t="shared" si="4"/>
        <v>1914790</v>
      </c>
      <c r="R16" s="118">
        <f t="shared" si="4"/>
        <v>1615805</v>
      </c>
      <c r="S16" s="118">
        <f t="shared" si="4"/>
        <v>115161286.97385971</v>
      </c>
      <c r="T16" s="118">
        <f>+T4+T11+T14</f>
        <v>57841182</v>
      </c>
      <c r="U16" s="118">
        <f>+U4+U11+U14</f>
        <v>24234714</v>
      </c>
      <c r="V16" s="118">
        <f>+V4+V11+V14</f>
        <v>9.9999999999999999E-93</v>
      </c>
      <c r="W16" s="118">
        <f>+W4+W11+W14</f>
        <v>1628127</v>
      </c>
      <c r="X16" s="118">
        <f>+X4+X11+X14</f>
        <v>198865309.97385973</v>
      </c>
    </row>
    <row r="17" spans="1:24" x14ac:dyDescent="0.25">
      <c r="A17" s="105"/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</row>
    <row r="18" spans="1:24" x14ac:dyDescent="0.25">
      <c r="A18" s="105"/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</row>
    <row r="19" spans="1:24" x14ac:dyDescent="0.25">
      <c r="A19" s="105"/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</row>
    <row r="20" spans="1:24" x14ac:dyDescent="0.25">
      <c r="B20" s="115"/>
    </row>
    <row r="21" spans="1:24" x14ac:dyDescent="0.25">
      <c r="A21" t="s">
        <v>107</v>
      </c>
      <c r="B21" s="115"/>
      <c r="C21" s="79">
        <v>1436408</v>
      </c>
      <c r="D21" s="79">
        <v>48257</v>
      </c>
      <c r="E21" s="79">
        <v>4054638</v>
      </c>
      <c r="F21" s="298">
        <v>24345934</v>
      </c>
      <c r="G21" s="298">
        <v>23792463</v>
      </c>
      <c r="H21" s="79">
        <v>3812385</v>
      </c>
      <c r="I21" s="79">
        <v>6712661</v>
      </c>
      <c r="J21" s="79">
        <v>33407161</v>
      </c>
      <c r="K21" s="79">
        <v>4217241</v>
      </c>
      <c r="L21" s="79">
        <v>605894</v>
      </c>
      <c r="M21" s="79">
        <v>1927665</v>
      </c>
      <c r="N21" s="79">
        <v>888691</v>
      </c>
      <c r="O21" s="79">
        <v>6121612</v>
      </c>
      <c r="P21" s="79">
        <v>259682</v>
      </c>
      <c r="Q21" s="79">
        <v>1914790</v>
      </c>
      <c r="R21" s="79">
        <v>1615805</v>
      </c>
      <c r="S21" s="79">
        <f>SUM(C21:R21)</f>
        <v>115161287</v>
      </c>
      <c r="T21" s="79">
        <v>57841182</v>
      </c>
      <c r="U21" s="79">
        <v>24234714</v>
      </c>
      <c r="V21" s="79">
        <v>0</v>
      </c>
      <c r="W21" s="79">
        <v>1628127</v>
      </c>
      <c r="X21" s="79">
        <v>198865310</v>
      </c>
    </row>
    <row r="22" spans="1:24" x14ac:dyDescent="0.25">
      <c r="B22" s="115"/>
      <c r="C22" t="s">
        <v>2</v>
      </c>
      <c r="D22" t="s">
        <v>103</v>
      </c>
      <c r="E22" t="s">
        <v>104</v>
      </c>
      <c r="F22" s="302" t="s">
        <v>5</v>
      </c>
      <c r="G22" s="302" t="s">
        <v>105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T22" t="s">
        <v>19</v>
      </c>
      <c r="U22" t="s">
        <v>20</v>
      </c>
      <c r="V22" t="s">
        <v>21</v>
      </c>
      <c r="W22" t="s">
        <v>22</v>
      </c>
    </row>
    <row r="23" spans="1:24" x14ac:dyDescent="0.25">
      <c r="A23" t="s">
        <v>106</v>
      </c>
      <c r="B23" s="115"/>
      <c r="C23" s="81">
        <f t="shared" ref="C23:X23" si="5">+C21-C16</f>
        <v>0.14694137824699283</v>
      </c>
      <c r="D23" s="81">
        <f t="shared" si="5"/>
        <v>-0.68069378793006763</v>
      </c>
      <c r="E23" s="81">
        <f t="shared" si="5"/>
        <v>0.61747207073494792</v>
      </c>
      <c r="F23" s="303">
        <f t="shared" si="5"/>
        <v>9250765.5870471895</v>
      </c>
      <c r="G23" s="303">
        <f t="shared" si="5"/>
        <v>-9250765.180322554</v>
      </c>
      <c r="H23" s="81">
        <f t="shared" si="5"/>
        <v>-0.19644725462421775</v>
      </c>
      <c r="I23" s="81">
        <f t="shared" si="5"/>
        <v>0</v>
      </c>
      <c r="J23" s="81">
        <f t="shared" si="5"/>
        <v>0.10452216863632202</v>
      </c>
      <c r="K23" s="81">
        <f t="shared" si="5"/>
        <v>0</v>
      </c>
      <c r="L23" s="81">
        <f t="shared" si="5"/>
        <v>-0.3723789177602157</v>
      </c>
      <c r="M23" s="81">
        <f t="shared" si="5"/>
        <v>0</v>
      </c>
      <c r="N23" s="81">
        <f t="shared" si="5"/>
        <v>0</v>
      </c>
      <c r="O23" s="81">
        <f t="shared" si="5"/>
        <v>0</v>
      </c>
      <c r="P23" s="81">
        <f t="shared" si="5"/>
        <v>0</v>
      </c>
      <c r="Q23" s="81">
        <f t="shared" si="5"/>
        <v>0</v>
      </c>
      <c r="R23" s="81">
        <f t="shared" si="5"/>
        <v>0</v>
      </c>
      <c r="S23" s="81">
        <f t="shared" si="5"/>
        <v>2.6140287518501282E-2</v>
      </c>
      <c r="T23" s="81">
        <f t="shared" si="5"/>
        <v>0</v>
      </c>
      <c r="U23" s="81">
        <f t="shared" si="5"/>
        <v>0</v>
      </c>
      <c r="V23" s="81">
        <f t="shared" si="5"/>
        <v>-9.9999999999999999E-93</v>
      </c>
      <c r="W23" s="81">
        <f t="shared" si="5"/>
        <v>0</v>
      </c>
      <c r="X23" s="81">
        <f t="shared" si="5"/>
        <v>2.6140272617340088E-2</v>
      </c>
    </row>
    <row r="24" spans="1:24" x14ac:dyDescent="0.25">
      <c r="B24" s="115"/>
    </row>
    <row r="25" spans="1:24" x14ac:dyDescent="0.25">
      <c r="B25" s="115"/>
    </row>
    <row r="26" spans="1:24" x14ac:dyDescent="0.25">
      <c r="B26" s="115"/>
    </row>
    <row r="27" spans="1:24" x14ac:dyDescent="0.25">
      <c r="C27" t="s">
        <v>2</v>
      </c>
      <c r="D27" t="s">
        <v>103</v>
      </c>
      <c r="E27" t="s">
        <v>104</v>
      </c>
      <c r="F27" t="s">
        <v>5</v>
      </c>
      <c r="G27" t="s">
        <v>105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T27" t="s">
        <v>19</v>
      </c>
      <c r="U27" t="s">
        <v>20</v>
      </c>
      <c r="V27" t="s">
        <v>21</v>
      </c>
      <c r="W27" t="s">
        <v>22</v>
      </c>
    </row>
    <row r="28" spans="1:24" x14ac:dyDescent="0.25">
      <c r="A28" t="s">
        <v>62</v>
      </c>
      <c r="C28">
        <v>146326</v>
      </c>
      <c r="D28">
        <v>33310</v>
      </c>
      <c r="E28">
        <v>536650</v>
      </c>
      <c r="F28">
        <v>19188254</v>
      </c>
      <c r="G28" s="79">
        <v>2780072</v>
      </c>
      <c r="H28">
        <v>341013</v>
      </c>
      <c r="I28">
        <v>0</v>
      </c>
      <c r="J28">
        <v>1546310</v>
      </c>
      <c r="K28">
        <v>1174864</v>
      </c>
      <c r="L28">
        <v>0</v>
      </c>
      <c r="M28">
        <v>1927665</v>
      </c>
      <c r="N28">
        <v>26880</v>
      </c>
      <c r="O28">
        <v>177463</v>
      </c>
      <c r="P28">
        <v>118813</v>
      </c>
      <c r="Q28">
        <v>225762</v>
      </c>
      <c r="R28">
        <v>0</v>
      </c>
      <c r="S28">
        <f>SUM(C28:R28)</f>
        <v>28223382</v>
      </c>
      <c r="T28">
        <v>6650918</v>
      </c>
      <c r="U28">
        <v>1585000</v>
      </c>
      <c r="V28">
        <v>0</v>
      </c>
      <c r="W28">
        <v>384300</v>
      </c>
    </row>
    <row r="29" spans="1:24" x14ac:dyDescent="0.25">
      <c r="A29" t="s">
        <v>63</v>
      </c>
      <c r="C29">
        <v>1149998</v>
      </c>
      <c r="D29">
        <v>14947</v>
      </c>
      <c r="E29">
        <v>606637</v>
      </c>
      <c r="F29">
        <v>4149726</v>
      </c>
      <c r="G29" s="79">
        <v>4646972</v>
      </c>
      <c r="H29">
        <v>3420087</v>
      </c>
      <c r="I29">
        <v>6712661</v>
      </c>
      <c r="J29">
        <v>27680680</v>
      </c>
      <c r="K29">
        <v>3042377</v>
      </c>
      <c r="L29">
        <v>605894</v>
      </c>
      <c r="M29">
        <v>0</v>
      </c>
      <c r="N29">
        <v>861811</v>
      </c>
      <c r="O29">
        <v>5944149</v>
      </c>
      <c r="P29">
        <v>140869</v>
      </c>
      <c r="Q29">
        <v>367799</v>
      </c>
      <c r="R29">
        <v>1615805</v>
      </c>
      <c r="S29">
        <f t="shared" ref="S29:S30" si="6">SUM(C29:R29)</f>
        <v>60960412</v>
      </c>
      <c r="T29">
        <v>27336718</v>
      </c>
      <c r="U29">
        <v>4627183</v>
      </c>
      <c r="V29">
        <v>0</v>
      </c>
      <c r="W29">
        <v>1243827</v>
      </c>
    </row>
    <row r="30" spans="1:24" x14ac:dyDescent="0.25">
      <c r="A30" t="s">
        <v>67</v>
      </c>
      <c r="C30">
        <v>140084</v>
      </c>
      <c r="D30">
        <v>0</v>
      </c>
      <c r="E30" s="79">
        <v>2911351</v>
      </c>
      <c r="F30">
        <v>1007954</v>
      </c>
      <c r="G30" s="79">
        <v>16365419</v>
      </c>
      <c r="H30">
        <v>51285</v>
      </c>
      <c r="I30">
        <v>0</v>
      </c>
      <c r="J30">
        <v>4180171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1321229</v>
      </c>
      <c r="R30">
        <v>0</v>
      </c>
      <c r="S30">
        <f t="shared" si="6"/>
        <v>25977493</v>
      </c>
      <c r="T30">
        <v>23853546</v>
      </c>
      <c r="U30">
        <v>18022531</v>
      </c>
      <c r="V30">
        <v>0</v>
      </c>
      <c r="W30">
        <v>0</v>
      </c>
    </row>
    <row r="31" spans="1:24" x14ac:dyDescent="0.25">
      <c r="C31">
        <f>SUM(C28:C30)</f>
        <v>1436408</v>
      </c>
      <c r="D31">
        <f t="shared" ref="D31:V31" si="7">SUM(D28:D30)</f>
        <v>48257</v>
      </c>
      <c r="E31">
        <f t="shared" si="7"/>
        <v>4054638</v>
      </c>
      <c r="F31">
        <f t="shared" si="7"/>
        <v>24345934</v>
      </c>
      <c r="G31" s="79">
        <f t="shared" si="7"/>
        <v>23792463</v>
      </c>
      <c r="H31">
        <f t="shared" si="7"/>
        <v>3812385</v>
      </c>
      <c r="I31">
        <f t="shared" si="7"/>
        <v>6712661</v>
      </c>
      <c r="J31">
        <f t="shared" si="7"/>
        <v>33407161</v>
      </c>
      <c r="K31">
        <f t="shared" si="7"/>
        <v>4217241</v>
      </c>
      <c r="L31">
        <f t="shared" si="7"/>
        <v>605894</v>
      </c>
      <c r="M31">
        <f t="shared" si="7"/>
        <v>1927665</v>
      </c>
      <c r="N31">
        <f t="shared" si="7"/>
        <v>888691</v>
      </c>
      <c r="O31">
        <f t="shared" si="7"/>
        <v>6121612</v>
      </c>
      <c r="P31">
        <f t="shared" si="7"/>
        <v>259682</v>
      </c>
      <c r="Q31">
        <f t="shared" si="7"/>
        <v>1914790</v>
      </c>
      <c r="R31">
        <f t="shared" si="7"/>
        <v>1615805</v>
      </c>
      <c r="S31">
        <f>SUM(S28:S30)</f>
        <v>115161287</v>
      </c>
      <c r="T31">
        <f t="shared" si="7"/>
        <v>57841182</v>
      </c>
      <c r="U31">
        <f t="shared" si="7"/>
        <v>24234714</v>
      </c>
      <c r="V31">
        <f t="shared" si="7"/>
        <v>0</v>
      </c>
      <c r="W31">
        <f>SUM(W28:W30)</f>
        <v>1628127</v>
      </c>
    </row>
    <row r="32" spans="1:24" x14ac:dyDescent="0.25"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spans="2:24" x14ac:dyDescent="0.25">
      <c r="B33" s="115"/>
    </row>
    <row r="34" spans="2:24" x14ac:dyDescent="0.25">
      <c r="B34" s="115"/>
      <c r="C34" s="81">
        <f>+C4-C28</f>
        <v>0</v>
      </c>
      <c r="D34" s="81">
        <f t="shared" ref="D34:X34" si="8">+D4-D28</f>
        <v>0</v>
      </c>
      <c r="E34" s="81">
        <f t="shared" si="8"/>
        <v>0</v>
      </c>
      <c r="F34" s="81">
        <f t="shared" si="8"/>
        <v>-9250765.2375000007</v>
      </c>
      <c r="G34" s="81">
        <f t="shared" si="8"/>
        <v>9250765.237499997</v>
      </c>
      <c r="H34" s="81">
        <f t="shared" si="8"/>
        <v>0</v>
      </c>
      <c r="I34" s="81">
        <f t="shared" si="8"/>
        <v>0</v>
      </c>
      <c r="J34" s="81">
        <f t="shared" si="8"/>
        <v>0</v>
      </c>
      <c r="K34" s="81">
        <f t="shared" si="8"/>
        <v>0</v>
      </c>
      <c r="L34" s="81">
        <f t="shared" si="8"/>
        <v>0</v>
      </c>
      <c r="M34" s="81">
        <f t="shared" si="8"/>
        <v>0</v>
      </c>
      <c r="N34" s="81">
        <f t="shared" si="8"/>
        <v>0</v>
      </c>
      <c r="O34" s="81">
        <f t="shared" si="8"/>
        <v>0</v>
      </c>
      <c r="P34" s="81">
        <f t="shared" si="8"/>
        <v>0</v>
      </c>
      <c r="Q34" s="81">
        <f t="shared" si="8"/>
        <v>0</v>
      </c>
      <c r="R34" s="81">
        <f t="shared" si="8"/>
        <v>0</v>
      </c>
      <c r="S34" s="81">
        <f t="shared" si="8"/>
        <v>0</v>
      </c>
      <c r="T34" s="81">
        <f t="shared" si="8"/>
        <v>0</v>
      </c>
      <c r="U34" s="81">
        <f t="shared" si="8"/>
        <v>0</v>
      </c>
      <c r="V34" s="81">
        <f t="shared" si="8"/>
        <v>0</v>
      </c>
      <c r="W34" s="81">
        <f t="shared" si="8"/>
        <v>0</v>
      </c>
      <c r="X34" s="81">
        <f t="shared" si="8"/>
        <v>36843600</v>
      </c>
    </row>
    <row r="35" spans="2:24" x14ac:dyDescent="0.25">
      <c r="B35" s="115"/>
      <c r="C35" s="266">
        <f>+C11-C29</f>
        <v>-0.14694137824699283</v>
      </c>
      <c r="D35" s="266">
        <f t="shared" ref="D35:X35" si="9">+D11-D29</f>
        <v>0.68069378793006763</v>
      </c>
      <c r="E35" s="266">
        <f t="shared" si="9"/>
        <v>-0.61747207073494792</v>
      </c>
      <c r="F35" s="266">
        <f t="shared" si="9"/>
        <v>-0.34954718966037035</v>
      </c>
      <c r="G35" s="266">
        <f t="shared" si="9"/>
        <v>-5.717744305729866E-2</v>
      </c>
      <c r="H35" s="266">
        <f t="shared" si="9"/>
        <v>0.19644725462421775</v>
      </c>
      <c r="I35" s="266">
        <f t="shared" si="9"/>
        <v>0</v>
      </c>
      <c r="J35" s="266">
        <f>+J11-J29</f>
        <v>-0.10452216863632202</v>
      </c>
      <c r="K35" s="266">
        <f t="shared" si="9"/>
        <v>0</v>
      </c>
      <c r="L35" s="266">
        <f t="shared" si="9"/>
        <v>0.3723789177602157</v>
      </c>
      <c r="M35" s="266">
        <f>+M11-M29</f>
        <v>9.9999999999999999E-93</v>
      </c>
      <c r="N35" s="81">
        <f t="shared" si="9"/>
        <v>0</v>
      </c>
      <c r="O35" s="81">
        <f t="shared" si="9"/>
        <v>0</v>
      </c>
      <c r="P35" s="81">
        <f t="shared" si="9"/>
        <v>0</v>
      </c>
      <c r="Q35" s="81">
        <f t="shared" si="9"/>
        <v>0</v>
      </c>
      <c r="R35" s="81">
        <f t="shared" si="9"/>
        <v>0</v>
      </c>
      <c r="S35" s="81">
        <f t="shared" si="9"/>
        <v>-2.6140287518501282E-2</v>
      </c>
      <c r="T35" s="81">
        <f t="shared" si="9"/>
        <v>0</v>
      </c>
      <c r="U35" s="81">
        <f t="shared" si="9"/>
        <v>0</v>
      </c>
      <c r="V35" s="81">
        <f t="shared" si="9"/>
        <v>9.9999999999999999E-93</v>
      </c>
      <c r="W35" s="81">
        <f t="shared" si="9"/>
        <v>0</v>
      </c>
      <c r="X35" s="81">
        <f t="shared" si="9"/>
        <v>94168139.973859712</v>
      </c>
    </row>
    <row r="36" spans="2:24" x14ac:dyDescent="0.25">
      <c r="B36" s="115"/>
      <c r="C36" s="81">
        <f>+C14-C30</f>
        <v>0</v>
      </c>
      <c r="D36" s="81">
        <f t="shared" ref="D36:X36" si="10">+D14-D30</f>
        <v>0</v>
      </c>
      <c r="E36" s="81">
        <f t="shared" si="10"/>
        <v>0</v>
      </c>
      <c r="F36" s="81">
        <f t="shared" si="10"/>
        <v>0</v>
      </c>
      <c r="G36" s="81">
        <f t="shared" si="10"/>
        <v>0</v>
      </c>
      <c r="H36" s="81">
        <f t="shared" si="10"/>
        <v>0</v>
      </c>
      <c r="I36" s="81">
        <f t="shared" si="10"/>
        <v>0</v>
      </c>
      <c r="J36" s="81">
        <f t="shared" si="10"/>
        <v>0</v>
      </c>
      <c r="K36" s="81">
        <f t="shared" si="10"/>
        <v>0</v>
      </c>
      <c r="L36" s="81">
        <f t="shared" si="10"/>
        <v>0</v>
      </c>
      <c r="M36" s="81">
        <f t="shared" si="10"/>
        <v>0</v>
      </c>
      <c r="N36" s="81">
        <f t="shared" si="10"/>
        <v>0</v>
      </c>
      <c r="O36" s="81">
        <f t="shared" si="10"/>
        <v>0</v>
      </c>
      <c r="P36" s="81">
        <f t="shared" si="10"/>
        <v>0</v>
      </c>
      <c r="Q36" s="81">
        <f t="shared" si="10"/>
        <v>0</v>
      </c>
      <c r="R36" s="81">
        <f t="shared" si="10"/>
        <v>0</v>
      </c>
      <c r="S36" s="81">
        <f t="shared" si="10"/>
        <v>0</v>
      </c>
      <c r="T36" s="81">
        <f t="shared" si="10"/>
        <v>0</v>
      </c>
      <c r="U36" s="81">
        <f t="shared" si="10"/>
        <v>0</v>
      </c>
      <c r="V36" s="81">
        <f t="shared" si="10"/>
        <v>0</v>
      </c>
      <c r="W36" s="81">
        <f t="shared" si="10"/>
        <v>0</v>
      </c>
      <c r="X36" s="81">
        <f t="shared" si="10"/>
        <v>67853570</v>
      </c>
    </row>
  </sheetData>
  <mergeCells count="1">
    <mergeCell ref="C2:Z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6"/>
  <sheetViews>
    <sheetView zoomScale="90" zoomScaleNormal="90" workbookViewId="0">
      <selection activeCell="A3" sqref="A3"/>
    </sheetView>
  </sheetViews>
  <sheetFormatPr defaultRowHeight="15" x14ac:dyDescent="0.25"/>
  <cols>
    <col min="1" max="1" width="33.140625" customWidth="1"/>
    <col min="2" max="2" width="6.7109375" customWidth="1"/>
    <col min="3" max="3" width="7.85546875" customWidth="1"/>
    <col min="4" max="4" width="13.28515625" customWidth="1"/>
    <col min="5" max="5" width="12.7109375" customWidth="1"/>
    <col min="6" max="6" width="11.7109375" customWidth="1"/>
    <col min="7" max="7" width="8.140625" bestFit="1" customWidth="1"/>
    <col min="8" max="8" width="8.28515625" customWidth="1"/>
    <col min="9" max="9" width="10.140625" customWidth="1"/>
    <col min="10" max="10" width="9" bestFit="1" customWidth="1"/>
    <col min="11" max="12" width="6.85546875" customWidth="1"/>
    <col min="13" max="13" width="6.5703125" customWidth="1"/>
    <col min="14" max="14" width="7.85546875" bestFit="1" customWidth="1"/>
    <col min="15" max="15" width="9.140625" customWidth="1"/>
    <col min="16" max="16" width="7" bestFit="1" customWidth="1"/>
    <col min="17" max="17" width="7.28515625" bestFit="1" customWidth="1"/>
    <col min="18" max="18" width="7.85546875" customWidth="1"/>
    <col min="19" max="19" width="10" customWidth="1"/>
    <col min="20" max="20" width="7" customWidth="1"/>
    <col min="21" max="21" width="9.7109375" customWidth="1"/>
    <col min="22" max="22" width="11.42578125" customWidth="1"/>
    <col min="23" max="23" width="9.7109375" customWidth="1"/>
    <col min="24" max="24" width="12.42578125" customWidth="1"/>
    <col min="25" max="25" width="10.85546875" customWidth="1"/>
    <col min="26" max="26" width="7.42578125" customWidth="1"/>
    <col min="27" max="27" width="1.85546875" customWidth="1"/>
  </cols>
  <sheetData>
    <row r="1" spans="1:29" ht="15" customHeight="1" x14ac:dyDescent="0.25">
      <c r="A1" s="325" t="s">
        <v>213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242" t="s">
        <v>2</v>
      </c>
      <c r="D4" s="240" t="s">
        <v>3</v>
      </c>
      <c r="E4" s="240" t="s">
        <v>4</v>
      </c>
      <c r="F4" s="240" t="s">
        <v>102</v>
      </c>
      <c r="G4" s="240" t="s">
        <v>6</v>
      </c>
      <c r="H4" s="240" t="s">
        <v>7</v>
      </c>
      <c r="I4" s="240" t="s">
        <v>164</v>
      </c>
      <c r="J4" s="240" t="s">
        <v>9</v>
      </c>
      <c r="K4" s="240" t="s">
        <v>10</v>
      </c>
      <c r="L4" s="240" t="s">
        <v>11</v>
      </c>
      <c r="M4" s="240" t="s">
        <v>12</v>
      </c>
      <c r="N4" s="240" t="s">
        <v>13</v>
      </c>
      <c r="O4" s="240" t="s">
        <v>14</v>
      </c>
      <c r="P4" s="238" t="s">
        <v>15</v>
      </c>
      <c r="Q4" s="238" t="s">
        <v>16</v>
      </c>
      <c r="R4" s="239" t="s">
        <v>17</v>
      </c>
      <c r="S4" s="331" t="s">
        <v>18</v>
      </c>
      <c r="T4" s="332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0</v>
      </c>
      <c r="T6" s="21">
        <f>S6*100/$S$31</f>
        <v>0</v>
      </c>
      <c r="U6" s="22"/>
      <c r="V6" s="22"/>
      <c r="W6" s="22"/>
      <c r="X6" s="23"/>
      <c r="Y6" s="20">
        <f>U6/100*$U$31+V6/100*$V$31+W6/100*$W$31+X6/100*$X$31+S6</f>
        <v>0</v>
      </c>
      <c r="Z6" s="25">
        <f t="shared" ref="Z6:Z29" si="0">Y6*100/$Y$31</f>
        <v>0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0</v>
      </c>
      <c r="T7" s="21">
        <f t="shared" ref="T7:T29" si="2">S7*100/$S$31</f>
        <v>0</v>
      </c>
      <c r="U7" s="22"/>
      <c r="V7" s="22"/>
      <c r="W7" s="22"/>
      <c r="X7" s="23"/>
      <c r="Y7" s="20">
        <f t="shared" ref="Y7:Y29" si="3">U7/100*$U$31+V7/100*$V$31+W7/100*$W$31+X7/100*$X$31+S7</f>
        <v>0</v>
      </c>
      <c r="Z7" s="25">
        <f t="shared" si="0"/>
        <v>0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0">
        <f t="shared" si="1"/>
        <v>0</v>
      </c>
      <c r="T8" s="21">
        <f t="shared" si="2"/>
        <v>0</v>
      </c>
      <c r="U8" s="22"/>
      <c r="V8" s="22"/>
      <c r="W8" s="22"/>
      <c r="X8" s="23"/>
      <c r="Y8" s="20">
        <f t="shared" si="3"/>
        <v>0</v>
      </c>
      <c r="Z8" s="25">
        <f t="shared" si="0"/>
        <v>0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0">
        <f t="shared" si="1"/>
        <v>0</v>
      </c>
      <c r="T9" s="21">
        <f t="shared" si="2"/>
        <v>0</v>
      </c>
      <c r="U9" s="22"/>
      <c r="V9" s="22"/>
      <c r="W9" s="22"/>
      <c r="X9" s="23"/>
      <c r="Y9" s="20">
        <f t="shared" si="3"/>
        <v>0</v>
      </c>
      <c r="Z9" s="25">
        <f t="shared" si="0"/>
        <v>0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>
        <v>100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9706</v>
      </c>
      <c r="T14" s="21">
        <f t="shared" si="2"/>
        <v>0.20339152113429854</v>
      </c>
      <c r="U14" s="22"/>
      <c r="V14" s="22"/>
      <c r="W14" s="22"/>
      <c r="X14" s="23"/>
      <c r="Y14" s="20">
        <f t="shared" si="3"/>
        <v>9706</v>
      </c>
      <c r="Z14" s="25">
        <f t="shared" si="0"/>
        <v>0.19393126609183942</v>
      </c>
    </row>
    <row r="15" spans="1:29" x14ac:dyDescent="0.25">
      <c r="A15" s="31" t="s">
        <v>35</v>
      </c>
      <c r="B15" s="18" t="s">
        <v>25</v>
      </c>
      <c r="C15" s="32"/>
      <c r="D15" s="22">
        <v>100</v>
      </c>
      <c r="E15" s="22"/>
      <c r="F15" s="22">
        <v>100</v>
      </c>
      <c r="G15" s="22">
        <v>100</v>
      </c>
      <c r="H15" s="22"/>
      <c r="I15" s="22"/>
      <c r="J15" s="22"/>
      <c r="K15" s="22"/>
      <c r="L15" s="22"/>
      <c r="M15" s="22"/>
      <c r="N15" s="22"/>
      <c r="O15" s="22"/>
      <c r="P15" s="22"/>
      <c r="Q15" s="22">
        <v>100</v>
      </c>
      <c r="R15" s="22"/>
      <c r="S15" s="20">
        <f t="shared" si="1"/>
        <v>4754004</v>
      </c>
      <c r="T15" s="21">
        <f t="shared" si="2"/>
        <v>99.62127601880691</v>
      </c>
      <c r="U15" s="22"/>
      <c r="V15" s="33"/>
      <c r="W15" s="33"/>
      <c r="X15" s="23"/>
      <c r="Y15" s="20">
        <f t="shared" si="3"/>
        <v>4754004</v>
      </c>
      <c r="Z15" s="25">
        <f t="shared" si="0"/>
        <v>94.987638030668549</v>
      </c>
    </row>
    <row r="16" spans="1:29" x14ac:dyDescent="0.25">
      <c r="A16" s="193" t="s">
        <v>36</v>
      </c>
      <c r="B16" s="30" t="s">
        <v>25</v>
      </c>
      <c r="C16" s="22"/>
      <c r="D16" s="22"/>
      <c r="E16" s="22">
        <v>100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8367</v>
      </c>
      <c r="T16" s="21">
        <f t="shared" si="2"/>
        <v>0.17533246005879621</v>
      </c>
      <c r="U16" s="22"/>
      <c r="V16" s="33"/>
      <c r="W16" s="33"/>
      <c r="X16" s="23"/>
      <c r="Y16" s="20">
        <f t="shared" si="3"/>
        <v>8367</v>
      </c>
      <c r="Z16" s="25">
        <f t="shared" si="0"/>
        <v>0.16717730304867304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0">
        <f t="shared" si="1"/>
        <v>0</v>
      </c>
      <c r="T17" s="21">
        <f t="shared" si="2"/>
        <v>0</v>
      </c>
      <c r="U17" s="33"/>
      <c r="V17" s="22"/>
      <c r="W17" s="22"/>
      <c r="X17" s="23"/>
      <c r="Y17" s="20">
        <f t="shared" si="3"/>
        <v>0</v>
      </c>
      <c r="Z17" s="25">
        <f t="shared" si="0"/>
        <v>0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7</v>
      </c>
      <c r="V19" s="22"/>
      <c r="W19" s="22"/>
      <c r="X19" s="23"/>
      <c r="Y19" s="20">
        <f t="shared" si="3"/>
        <v>16295.230000000001</v>
      </c>
      <c r="Z19" s="25">
        <f t="shared" si="0"/>
        <v>0.32558773801336544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20</v>
      </c>
      <c r="V20" s="22"/>
      <c r="W20" s="22"/>
      <c r="X20" s="23"/>
      <c r="Y20" s="20">
        <f t="shared" si="3"/>
        <v>46557.8</v>
      </c>
      <c r="Z20" s="25">
        <f t="shared" si="0"/>
        <v>0.93025068003818678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/>
      <c r="V23" s="22"/>
      <c r="W23" s="22"/>
      <c r="X23" s="23"/>
      <c r="Y23" s="20">
        <f t="shared" si="3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8</v>
      </c>
      <c r="V24" s="22"/>
      <c r="W24" s="22"/>
      <c r="X24" s="23"/>
      <c r="Y24" s="20">
        <f t="shared" si="3"/>
        <v>18623.12</v>
      </c>
      <c r="Z24" s="25">
        <f t="shared" si="0"/>
        <v>0.37210027201527474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/>
      <c r="V25" s="22"/>
      <c r="W25" s="22"/>
      <c r="X25" s="23"/>
      <c r="Y25" s="20">
        <f t="shared" si="3"/>
        <v>0</v>
      </c>
      <c r="Z25" s="25">
        <f t="shared" si="0"/>
        <v>0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65</v>
      </c>
      <c r="V27" s="22"/>
      <c r="W27" s="22"/>
      <c r="X27" s="23"/>
      <c r="Y27" s="20">
        <f t="shared" si="3"/>
        <v>151312.85</v>
      </c>
      <c r="Z27" s="25">
        <f t="shared" si="0"/>
        <v>3.0233147101241071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/>
      <c r="V28" s="22"/>
      <c r="W28" s="22"/>
      <c r="X28" s="23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0</v>
      </c>
      <c r="I30" s="44">
        <f t="shared" si="4"/>
        <v>0</v>
      </c>
      <c r="J30" s="44">
        <f t="shared" si="4"/>
        <v>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4772077</v>
      </c>
      <c r="T30" s="20">
        <f>+SUM(T6:T29)</f>
        <v>100</v>
      </c>
      <c r="U30" s="44">
        <f>SUM(U6:U29)</f>
        <v>100</v>
      </c>
      <c r="V30" s="44">
        <f t="shared" ref="V30:X30" si="5">SUM(V6:V29)</f>
        <v>0</v>
      </c>
      <c r="W30" s="44">
        <f t="shared" si="5"/>
        <v>0</v>
      </c>
      <c r="X30" s="44">
        <f t="shared" si="5"/>
        <v>0</v>
      </c>
      <c r="Y30" s="39">
        <f>SUM(Y6:Y29)</f>
        <v>5004866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9706</v>
      </c>
      <c r="D31" s="47">
        <v>591</v>
      </c>
      <c r="E31" s="47">
        <v>8367</v>
      </c>
      <c r="F31" s="47">
        <v>4658823</v>
      </c>
      <c r="G31" s="47">
        <v>87747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6843</v>
      </c>
      <c r="R31" s="47">
        <v>0</v>
      </c>
      <c r="S31" s="48">
        <f>SUM(C31:R31)</f>
        <v>4772077</v>
      </c>
      <c r="T31" s="48">
        <f>S31*100/$S$31</f>
        <v>100</v>
      </c>
      <c r="U31" s="47">
        <v>232789</v>
      </c>
      <c r="V31" s="47">
        <v>0</v>
      </c>
      <c r="W31" s="47">
        <v>0</v>
      </c>
      <c r="X31" s="47">
        <v>0</v>
      </c>
      <c r="Y31" s="48">
        <f>+S31+U31+V31+W31+X31</f>
        <v>5004866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  <c r="U33" s="241"/>
    </row>
    <row r="34" spans="1:25" x14ac:dyDescent="0.25">
      <c r="A34" s="56" t="s">
        <v>53</v>
      </c>
      <c r="B34" s="57"/>
      <c r="C34" s="57"/>
      <c r="D34" s="57"/>
      <c r="E34" s="57"/>
      <c r="F34" s="58"/>
      <c r="U34" s="10"/>
    </row>
    <row r="35" spans="1:25" x14ac:dyDescent="0.25">
      <c r="A35" s="59" t="s">
        <v>54</v>
      </c>
      <c r="B35" s="22"/>
      <c r="C35" s="22"/>
      <c r="D35" s="22"/>
      <c r="E35" s="22"/>
      <c r="F35" s="23"/>
    </row>
    <row r="36" spans="1:25" x14ac:dyDescent="0.25">
      <c r="A36" s="59" t="s">
        <v>56</v>
      </c>
      <c r="B36" s="22" t="s">
        <v>214</v>
      </c>
      <c r="C36" s="22"/>
      <c r="D36" s="22"/>
      <c r="E36" s="22"/>
      <c r="F36" s="23"/>
    </row>
    <row r="37" spans="1:25" x14ac:dyDescent="0.25">
      <c r="A37" s="11" t="s">
        <v>57</v>
      </c>
      <c r="B37" s="38"/>
      <c r="C37" s="38"/>
      <c r="D37" s="38"/>
      <c r="E37" s="38"/>
      <c r="F37" s="41"/>
    </row>
    <row r="38" spans="1:25" x14ac:dyDescent="0.25">
      <c r="A38" t="s">
        <v>58</v>
      </c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215</v>
      </c>
      <c r="B43" s="62"/>
      <c r="C43" s="63">
        <v>5004868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</row>
    <row r="46" spans="1:25" x14ac:dyDescent="0.25">
      <c r="C46">
        <v>9706</v>
      </c>
      <c r="D46">
        <v>591</v>
      </c>
      <c r="E46">
        <v>8367</v>
      </c>
      <c r="F46">
        <v>4658823</v>
      </c>
      <c r="G46">
        <v>87747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6843</v>
      </c>
      <c r="R46">
        <v>0</v>
      </c>
      <c r="U46">
        <v>232789</v>
      </c>
      <c r="V46">
        <v>0</v>
      </c>
      <c r="W46">
        <v>0</v>
      </c>
      <c r="X46">
        <v>0</v>
      </c>
      <c r="Y46">
        <f>SUM(C46:X46)</f>
        <v>5004866</v>
      </c>
    </row>
  </sheetData>
  <mergeCells count="3">
    <mergeCell ref="A1:Z2"/>
    <mergeCell ref="S4:T4"/>
    <mergeCell ref="Y4:Z4"/>
  </mergeCells>
  <pageMargins left="0.26" right="0.24" top="0.74803149606299213" bottom="0.74803149606299213" header="0.31496062992125984" footer="0.31496062992125984"/>
  <pageSetup paperSize="9" scale="55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K111"/>
  <sheetViews>
    <sheetView topLeftCell="A37" zoomScale="90" zoomScaleNormal="90" workbookViewId="0">
      <selection activeCell="M80" sqref="M80"/>
    </sheetView>
  </sheetViews>
  <sheetFormatPr defaultRowHeight="15" x14ac:dyDescent="0.25"/>
  <cols>
    <col min="1" max="1" width="30.7109375" customWidth="1"/>
    <col min="2" max="2" width="13.42578125" customWidth="1"/>
    <col min="3" max="3" width="10.7109375" customWidth="1"/>
    <col min="4" max="4" width="11.140625" customWidth="1"/>
    <col min="5" max="5" width="12.85546875" customWidth="1"/>
    <col min="6" max="6" width="11.7109375" customWidth="1"/>
    <col min="7" max="8" width="14.7109375" bestFit="1" customWidth="1"/>
    <col min="9" max="9" width="15" bestFit="1" customWidth="1"/>
    <col min="10" max="10" width="12.85546875" customWidth="1"/>
    <col min="11" max="11" width="14.7109375" bestFit="1" customWidth="1"/>
    <col min="12" max="12" width="13.42578125" customWidth="1"/>
    <col min="13" max="14" width="14.7109375" bestFit="1" customWidth="1"/>
    <col min="15" max="15" width="13.5703125" customWidth="1"/>
    <col min="16" max="16" width="12" customWidth="1"/>
    <col min="17" max="17" width="14.140625" customWidth="1"/>
    <col min="18" max="19" width="11.85546875" bestFit="1" customWidth="1"/>
    <col min="20" max="20" width="12.85546875" customWidth="1"/>
    <col min="21" max="21" width="13" bestFit="1" customWidth="1"/>
  </cols>
  <sheetData>
    <row r="1" spans="1:21" x14ac:dyDescent="0.25">
      <c r="A1" s="69"/>
      <c r="B1" s="347" t="s">
        <v>80</v>
      </c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9"/>
    </row>
    <row r="2" spans="1:21" x14ac:dyDescent="0.25">
      <c r="B2" s="338" t="s">
        <v>60</v>
      </c>
      <c r="C2" s="339"/>
      <c r="D2" s="339"/>
      <c r="E2" s="339"/>
      <c r="F2" s="340"/>
      <c r="G2" s="338" t="s">
        <v>60</v>
      </c>
      <c r="H2" s="339"/>
      <c r="I2" s="339"/>
      <c r="J2" s="339"/>
      <c r="K2" s="340"/>
      <c r="L2" s="338" t="s">
        <v>60</v>
      </c>
      <c r="M2" s="339"/>
      <c r="N2" s="339"/>
      <c r="O2" s="339"/>
      <c r="P2" s="340"/>
      <c r="Q2" s="338" t="s">
        <v>60</v>
      </c>
      <c r="R2" s="339"/>
      <c r="S2" s="339"/>
      <c r="T2" s="339"/>
      <c r="U2" s="340"/>
    </row>
    <row r="3" spans="1:21" x14ac:dyDescent="0.25">
      <c r="A3" s="106" t="s">
        <v>0</v>
      </c>
      <c r="B3" s="341" t="s">
        <v>62</v>
      </c>
      <c r="C3" s="342"/>
      <c r="D3" s="342"/>
      <c r="E3" s="342"/>
      <c r="F3" s="343"/>
      <c r="G3" s="341" t="s">
        <v>63</v>
      </c>
      <c r="H3" s="342"/>
      <c r="I3" s="342"/>
      <c r="J3" s="342"/>
      <c r="K3" s="343"/>
      <c r="L3" s="341" t="s">
        <v>67</v>
      </c>
      <c r="M3" s="342"/>
      <c r="N3" s="342"/>
      <c r="O3" s="342"/>
      <c r="P3" s="343"/>
      <c r="Q3" s="341" t="s">
        <v>68</v>
      </c>
      <c r="R3" s="342"/>
      <c r="S3" s="342"/>
      <c r="T3" s="342"/>
      <c r="U3" s="343"/>
    </row>
    <row r="4" spans="1:21" x14ac:dyDescent="0.25">
      <c r="A4" s="70"/>
      <c r="B4" s="344" t="s">
        <v>66</v>
      </c>
      <c r="C4" s="345"/>
      <c r="D4" s="345"/>
      <c r="E4" s="345"/>
      <c r="F4" s="346"/>
      <c r="G4" s="344" t="s">
        <v>88</v>
      </c>
      <c r="H4" s="345"/>
      <c r="I4" s="345"/>
      <c r="J4" s="345"/>
      <c r="K4" s="346"/>
      <c r="L4" s="344" t="s">
        <v>71</v>
      </c>
      <c r="M4" s="345"/>
      <c r="N4" s="345"/>
      <c r="O4" s="345"/>
      <c r="P4" s="346"/>
      <c r="Q4" s="344" t="s">
        <v>69</v>
      </c>
      <c r="R4" s="345"/>
      <c r="S4" s="345"/>
      <c r="T4" s="345"/>
      <c r="U4" s="346"/>
    </row>
    <row r="5" spans="1:21" x14ac:dyDescent="0.25">
      <c r="A5" s="52"/>
      <c r="B5" s="51" t="s">
        <v>18</v>
      </c>
      <c r="C5" s="71" t="s">
        <v>19</v>
      </c>
      <c r="D5" s="71" t="s">
        <v>20</v>
      </c>
      <c r="E5" s="71" t="s">
        <v>22</v>
      </c>
      <c r="F5" s="72" t="s">
        <v>65</v>
      </c>
      <c r="G5" s="51" t="s">
        <v>18</v>
      </c>
      <c r="H5" s="71" t="s">
        <v>19</v>
      </c>
      <c r="I5" s="71" t="s">
        <v>20</v>
      </c>
      <c r="J5" s="71" t="s">
        <v>22</v>
      </c>
      <c r="K5" s="72" t="s">
        <v>65</v>
      </c>
      <c r="L5" s="51" t="s">
        <v>18</v>
      </c>
      <c r="M5" s="71" t="s">
        <v>19</v>
      </c>
      <c r="N5" s="71" t="s">
        <v>20</v>
      </c>
      <c r="O5" s="71" t="s">
        <v>22</v>
      </c>
      <c r="P5" s="72" t="s">
        <v>65</v>
      </c>
      <c r="Q5" s="51" t="s">
        <v>18</v>
      </c>
      <c r="R5" s="71" t="s">
        <v>19</v>
      </c>
      <c r="S5" s="71" t="s">
        <v>20</v>
      </c>
      <c r="T5" s="71" t="s">
        <v>22</v>
      </c>
      <c r="U5" s="72" t="s">
        <v>65</v>
      </c>
    </row>
    <row r="6" spans="1:21" x14ac:dyDescent="0.25">
      <c r="A6" s="70" t="s">
        <v>26</v>
      </c>
      <c r="B6" s="94">
        <f>+'1'!S6+'2'!S6+'3'!S6+'4'!S6+'5'!S6</f>
        <v>2387985.2343750005</v>
      </c>
      <c r="C6" s="96">
        <f>+'1'!U6/100*'1'!$U$31+'2'!U6/100*'2'!$U$31+'3'!U6/100*'3'!$U$31+'4'!U6/100*'4'!$U$31+'5'!U6/100*'5'!$U$31</f>
        <v>0</v>
      </c>
      <c r="D6" s="96">
        <f>+'1'!V6/100*'1'!$V$31+'2'!V6/100*'2'!$V$31+'3'!V6/100*'3'!$V$31+'4'!V6/100*'4'!$V$31+'5'!V6/100*'5'!$V$31</f>
        <v>79250</v>
      </c>
      <c r="E6" s="96">
        <f>+'1'!X6/100*'1'!$X$31+'2'!X6/100*'2'!$X$31+'3'!X6/100*'3'!$X$31+'4'!X6/100*'4'!$X$31+'5'!X6/100*'5'!$X$31</f>
        <v>0</v>
      </c>
      <c r="F6" s="96">
        <f>SUM(B6:E6)</f>
        <v>2467235.2343750005</v>
      </c>
      <c r="G6" s="93">
        <f>+ind!B6+ind!G6+ind!L6+ind!Q6+ind!V6+ind!AA6</f>
        <v>5363375.6365039553</v>
      </c>
      <c r="H6" s="87">
        <f>+ind!C6+ind!H6+ind!M6+ind!R6+ind!W6+ind!AB6</f>
        <v>0</v>
      </c>
      <c r="I6" s="96">
        <f>+ind!D6+ind!I6+ind!N6+ind!S6+ind!X6+ind!AC6</f>
        <v>0</v>
      </c>
      <c r="J6" s="96">
        <f>+ind!E6+ind!J6+ind!O6+ind!T6+ind!Y6+ind!AD6</f>
        <v>0</v>
      </c>
      <c r="K6" s="97">
        <f>SUM(G6:J6)</f>
        <v>5363375.6365039553</v>
      </c>
      <c r="L6" s="94">
        <f>+hs!B6+hs!G6</f>
        <v>645121.54399999999</v>
      </c>
      <c r="M6" s="96">
        <f>+hs!C6+hs!H6</f>
        <v>0</v>
      </c>
      <c r="N6" s="96">
        <f>+hs!D6+hs!I6</f>
        <v>0</v>
      </c>
      <c r="O6" s="96">
        <f>+hs!E6+hs!J6</f>
        <v>0</v>
      </c>
      <c r="P6" s="97">
        <f>SUM(L6:N6)</f>
        <v>645121.54399999999</v>
      </c>
      <c r="Q6" s="103">
        <f>+B6+G6+L6</f>
        <v>8396482.4148789551</v>
      </c>
      <c r="R6" s="104">
        <f>+C6+H6+M6</f>
        <v>0</v>
      </c>
      <c r="S6" s="104">
        <f>+D6+I6+N6</f>
        <v>79250</v>
      </c>
      <c r="T6" s="104">
        <f>+E6+J6+O6</f>
        <v>0</v>
      </c>
      <c r="U6" s="107">
        <f>SUM(Q6:T6)</f>
        <v>8475732.4148789551</v>
      </c>
    </row>
    <row r="7" spans="1:21" x14ac:dyDescent="0.25">
      <c r="A7" s="70"/>
      <c r="F7" s="97"/>
      <c r="G7" s="96"/>
      <c r="H7" s="96"/>
      <c r="I7" s="96"/>
      <c r="J7" s="96"/>
      <c r="K7" s="97"/>
      <c r="L7" s="94"/>
      <c r="M7" s="96"/>
      <c r="N7" s="96"/>
      <c r="O7" s="96"/>
      <c r="P7" s="97"/>
      <c r="Q7" s="103"/>
      <c r="R7" s="104"/>
      <c r="S7" s="104"/>
      <c r="T7" s="104"/>
      <c r="U7" s="107"/>
    </row>
    <row r="8" spans="1:21" x14ac:dyDescent="0.25">
      <c r="A8" s="70" t="s">
        <v>27</v>
      </c>
      <c r="B8" s="94">
        <f>+'1'!S7+'2'!S7+'3'!S7+'4'!S7+'5'!S7</f>
        <v>17821.95</v>
      </c>
      <c r="C8" s="96">
        <f>+'1'!U7/100*'1'!$U$31+'2'!U7/100*'2'!$U$31+'3'!U7/100*'3'!$U$31+'4'!U7/100*'4'!$U$31+'5'!U7/100*'5'!$U$31</f>
        <v>817924.04999999993</v>
      </c>
      <c r="D8" s="96">
        <f>+'1'!V7/100*'1'!$V$31+'2'!V7/100*'2'!$V$31+'3'!V7/100*'3'!$V$31+'4'!V7/100*'4'!$V$31+'5'!V7/100*'5'!$V$31</f>
        <v>0</v>
      </c>
      <c r="E8" s="96">
        <f>+'1'!X7/100*'1'!$X$31+'2'!X7/100*'2'!$X$31+'3'!X7/100*'3'!$X$31+'4'!X7/100*'4'!$X$31+'5'!X7/100*'5'!$X$31</f>
        <v>0</v>
      </c>
      <c r="F8" s="97">
        <f>SUM(B8:E8)</f>
        <v>835745.99999999988</v>
      </c>
      <c r="G8" s="96">
        <f>+ind!B8+ind!G8+ind!L8+ind!Q8+ind!V8+ind!AA8</f>
        <v>13380180.095322577</v>
      </c>
      <c r="H8" s="96">
        <f>+ind!C8+ind!H8+ind!M8+ind!R8+ind!W8+ind!AB8</f>
        <v>250508.44709037105</v>
      </c>
      <c r="I8" s="96">
        <f>+ind!D8+ind!I8+ind!N8+ind!S8+ind!X8+ind!AC8</f>
        <v>923215.91350457037</v>
      </c>
      <c r="J8" s="96">
        <f>+ind!E8+ind!J8+ind!O8+ind!T8+ind!Y8+ind!AD8</f>
        <v>98862</v>
      </c>
      <c r="K8" s="97">
        <f>SUM(G8:J8)</f>
        <v>14652766.455917519</v>
      </c>
      <c r="L8" s="94">
        <f>+hs!B8+hs!G8</f>
        <v>108586.8458</v>
      </c>
      <c r="M8" s="96">
        <f>+hs!C8+hs!H8</f>
        <v>346245.28650000005</v>
      </c>
      <c r="N8" s="96">
        <f>+hs!D8+hs!I8</f>
        <v>270867.87000000005</v>
      </c>
      <c r="O8" s="96">
        <f>+hs!E8+hs!J8</f>
        <v>0</v>
      </c>
      <c r="P8" s="97">
        <f t="shared" ref="P8:P52" si="0">SUM(L8:N8)</f>
        <v>725700.00230000005</v>
      </c>
      <c r="Q8" s="103">
        <f t="shared" ref="Q8:Q52" si="1">+B8+G8+L8</f>
        <v>13506588.891122576</v>
      </c>
      <c r="R8" s="104">
        <f t="shared" ref="R8:R52" si="2">+C8+H8+M8</f>
        <v>1414677.7835903708</v>
      </c>
      <c r="S8" s="104">
        <f t="shared" ref="S8:S52" si="3">+D8+I8+N8</f>
        <v>1194083.7835045704</v>
      </c>
      <c r="T8" s="104">
        <f t="shared" ref="T8:T52" si="4">+E8+J8+O8</f>
        <v>98862</v>
      </c>
      <c r="U8" s="107">
        <f t="shared" ref="U8:U52" si="5">SUM(Q8:T8)</f>
        <v>16214212.458217517</v>
      </c>
    </row>
    <row r="9" spans="1:21" x14ac:dyDescent="0.25">
      <c r="A9" s="70"/>
      <c r="F9" s="97"/>
      <c r="G9" s="96"/>
      <c r="H9" s="96"/>
      <c r="I9" s="96"/>
      <c r="J9" s="96"/>
      <c r="K9" s="97"/>
      <c r="L9" s="94"/>
      <c r="M9" s="96"/>
      <c r="N9" s="96"/>
      <c r="O9" s="96"/>
      <c r="P9" s="97"/>
      <c r="Q9" s="103"/>
      <c r="R9" s="104"/>
      <c r="S9" s="104"/>
      <c r="T9" s="104"/>
      <c r="U9" s="107"/>
    </row>
    <row r="10" spans="1:21" x14ac:dyDescent="0.25">
      <c r="A10" s="70" t="s">
        <v>28</v>
      </c>
      <c r="B10" s="94">
        <f>+'1'!S8+'2'!S8+'3'!S8+'4'!S8+'5'!S8</f>
        <v>267542.992875</v>
      </c>
      <c r="C10" s="96">
        <f>+'1'!U8/100*'1'!$U$31+'2'!U8/100*'2'!$U$31+'3'!U8/100*'3'!$U$31+'4'!U8/100*'4'!$U$31+'5'!U8/100*'5'!$U$31</f>
        <v>0</v>
      </c>
      <c r="D10" s="96">
        <f>+'1'!V8/100*'1'!$V$31+'2'!V8/100*'2'!$V$31+'3'!V8/100*'3'!$V$31+'4'!V8/100*'4'!$V$31+'5'!V8/100*'5'!$V$31</f>
        <v>0</v>
      </c>
      <c r="E10" s="96">
        <f>+'1'!X8/100*'1'!$X$31+'2'!X8/100*'2'!$X$31+'3'!X8/100*'3'!$X$31+'4'!X8/100*'4'!$X$31+'5'!X8/100*'5'!$X$31</f>
        <v>0</v>
      </c>
      <c r="F10" s="97">
        <f t="shared" ref="F10:F52" si="6">SUM(B10:E10)</f>
        <v>267542.992875</v>
      </c>
      <c r="G10" s="96">
        <f>+ind!B10+ind!G10+ind!L10+ind!Q10+ind!V10+ind!AA10</f>
        <v>12460806.723306658</v>
      </c>
      <c r="H10" s="96">
        <f>+ind!C10+ind!H10+ind!M10+ind!R10+ind!W10+ind!AB10</f>
        <v>407278.90121447202</v>
      </c>
      <c r="I10" s="96">
        <f>+ind!D10+ind!I10+ind!N10+ind!S10+ind!X10+ind!AC10</f>
        <v>209310.73404323537</v>
      </c>
      <c r="J10" s="96">
        <f>+ind!E10+ind!J10+ind!O10+ind!T10+ind!Y10+ind!AD10</f>
        <v>131407</v>
      </c>
      <c r="K10" s="97">
        <f>SUM(G10:J10)</f>
        <v>13208803.358564364</v>
      </c>
      <c r="L10" s="94">
        <f>+hs!B10+hs!G10</f>
        <v>90752.006800000003</v>
      </c>
      <c r="M10" s="96">
        <f>+hs!C10+hs!H10</f>
        <v>0</v>
      </c>
      <c r="N10" s="96">
        <f>+hs!D10+hs!I10</f>
        <v>0</v>
      </c>
      <c r="O10" s="96">
        <f>+hs!E10+hs!J10</f>
        <v>0</v>
      </c>
      <c r="P10" s="97">
        <f t="shared" si="0"/>
        <v>90752.006800000003</v>
      </c>
      <c r="Q10" s="103">
        <f t="shared" si="1"/>
        <v>12819101.722981658</v>
      </c>
      <c r="R10" s="104">
        <f t="shared" si="2"/>
        <v>407278.90121447202</v>
      </c>
      <c r="S10" s="104">
        <f t="shared" si="3"/>
        <v>209310.73404323537</v>
      </c>
      <c r="T10" s="104">
        <f t="shared" si="4"/>
        <v>131407</v>
      </c>
      <c r="U10" s="107">
        <f t="shared" si="5"/>
        <v>13567098.358239366</v>
      </c>
    </row>
    <row r="11" spans="1:21" x14ac:dyDescent="0.25">
      <c r="A11" s="70"/>
      <c r="F11" s="97"/>
      <c r="G11" s="96"/>
      <c r="H11" s="96"/>
      <c r="I11" s="96"/>
      <c r="J11" s="96"/>
      <c r="K11" s="97"/>
      <c r="L11" s="94"/>
      <c r="M11" s="96"/>
      <c r="N11" s="96"/>
      <c r="O11" s="96"/>
      <c r="P11" s="97"/>
      <c r="Q11" s="103"/>
      <c r="R11" s="104"/>
      <c r="S11" s="104"/>
      <c r="T11" s="104"/>
      <c r="U11" s="107"/>
    </row>
    <row r="12" spans="1:21" x14ac:dyDescent="0.25">
      <c r="A12" s="70" t="s">
        <v>29</v>
      </c>
      <c r="B12" s="94">
        <f>+'1'!S9+'2'!S9+'3'!S9+'4'!S9+'5'!S9</f>
        <v>0</v>
      </c>
      <c r="C12" s="96">
        <f>+'1'!U9/100*'1'!$U$31+'2'!U9/100*'2'!$U$31+'3'!U9/100*'3'!$U$31+'4'!U9/100*'4'!$U$31+'5'!U9/100*'5'!$U$31</f>
        <v>0</v>
      </c>
      <c r="D12" s="96">
        <f>+'1'!V9/100*'1'!$V$31+'2'!V9/100*'2'!$V$31+'3'!V9/100*'3'!$V$31+'4'!V9/100*'4'!$V$31+'5'!V9/100*'5'!$V$31</f>
        <v>0</v>
      </c>
      <c r="E12" s="96">
        <f>+'1'!X9/100*'1'!$X$31+'2'!X9/100*'2'!$X$31+'3'!X9/100*'3'!$X$31+'4'!X9/100*'4'!$X$31+'5'!X9/100*'5'!$X$31</f>
        <v>0</v>
      </c>
      <c r="F12" s="97">
        <f t="shared" si="6"/>
        <v>0</v>
      </c>
      <c r="G12" s="96">
        <f>+ind!B12+ind!G12+ind!L12+ind!Q12+ind!V12+ind!AA12</f>
        <v>4404705.5329734422</v>
      </c>
      <c r="H12" s="96">
        <f>+ind!C12+ind!H12+ind!M12+ind!R12+ind!W12+ind!AB12</f>
        <v>84546.862109414928</v>
      </c>
      <c r="I12" s="96">
        <f>+ind!D12+ind!I12+ind!N12+ind!S12+ind!X12+ind!AC12</f>
        <v>106099.91499999999</v>
      </c>
      <c r="J12" s="96">
        <f>+ind!E12+ind!J12+ind!O12+ind!T12+ind!Y12+ind!AD12</f>
        <v>0</v>
      </c>
      <c r="K12" s="97">
        <f t="shared" ref="K12:K50" si="7">SUM(G12:I12)</f>
        <v>4595352.3100828575</v>
      </c>
      <c r="L12" s="94">
        <f>+hs!B12+hs!G12</f>
        <v>0</v>
      </c>
      <c r="M12" s="96">
        <f>+hs!C12+hs!H12</f>
        <v>0</v>
      </c>
      <c r="N12" s="96">
        <f>+hs!D12+hs!I12</f>
        <v>0</v>
      </c>
      <c r="O12" s="96">
        <f>+hs!E12+hs!J12</f>
        <v>0</v>
      </c>
      <c r="P12" s="97">
        <f t="shared" si="0"/>
        <v>0</v>
      </c>
      <c r="Q12" s="103">
        <f t="shared" si="1"/>
        <v>4404705.5329734422</v>
      </c>
      <c r="R12" s="104">
        <f t="shared" si="2"/>
        <v>84546.862109414928</v>
      </c>
      <c r="S12" s="104">
        <f t="shared" si="3"/>
        <v>106099.91499999999</v>
      </c>
      <c r="T12" s="104">
        <f t="shared" si="4"/>
        <v>0</v>
      </c>
      <c r="U12" s="107">
        <f t="shared" si="5"/>
        <v>4595352.3100828575</v>
      </c>
    </row>
    <row r="13" spans="1:21" x14ac:dyDescent="0.25">
      <c r="A13" s="70"/>
      <c r="F13" s="97"/>
      <c r="G13" s="96"/>
      <c r="H13" s="96"/>
      <c r="I13" s="96"/>
      <c r="J13" s="96"/>
      <c r="K13" s="97"/>
      <c r="L13" s="94"/>
      <c r="M13" s="96"/>
      <c r="N13" s="96"/>
      <c r="O13" s="96"/>
      <c r="P13" s="97"/>
      <c r="Q13" s="103"/>
      <c r="R13" s="104"/>
      <c r="S13" s="104"/>
      <c r="T13" s="104"/>
      <c r="U13" s="107"/>
    </row>
    <row r="14" spans="1:21" x14ac:dyDescent="0.25">
      <c r="A14" s="70" t="s">
        <v>30</v>
      </c>
      <c r="B14" s="94">
        <f>+'1'!S10+'2'!S10+'3'!S10+'4'!S10+'5'!S10</f>
        <v>0</v>
      </c>
      <c r="C14" s="96">
        <f>+'1'!U10/100*'1'!$U$31+'2'!U10/100*'2'!$U$31+'3'!U10/100*'3'!$U$31+'4'!U10/100*'4'!$U$31+'5'!U10/100*'5'!$U$31</f>
        <v>0</v>
      </c>
      <c r="D14" s="96">
        <f>+'1'!V10/100*'1'!$V$31+'2'!V10/100*'2'!$V$31+'3'!V10/100*'3'!$V$31+'4'!V10/100*'4'!$V$31+'5'!V10/100*'5'!$V$31</f>
        <v>0</v>
      </c>
      <c r="E14" s="96">
        <f>+'1'!X10/100*'1'!$X$31+'2'!X10/100*'2'!$X$31+'3'!X10/100*'3'!$X$31+'4'!X10/100*'4'!$X$31+'5'!X10/100*'5'!$X$31</f>
        <v>0</v>
      </c>
      <c r="F14" s="97">
        <f t="shared" si="6"/>
        <v>0</v>
      </c>
      <c r="G14" s="96">
        <f>+ind!B14+ind!G14+ind!L14+ind!Q14+ind!V14+ind!AA14</f>
        <v>2006140.5707557404</v>
      </c>
      <c r="H14" s="96">
        <f>+ind!C14+ind!H14+ind!M14+ind!R14+ind!W14+ind!AB14</f>
        <v>0</v>
      </c>
      <c r="I14" s="96">
        <f>+ind!D14+ind!I14+ind!N14+ind!S14+ind!X14+ind!AC14</f>
        <v>289319.08306538151</v>
      </c>
      <c r="J14" s="96">
        <f>+ind!E14+ind!J14+ind!O14+ind!T14+ind!Y14+ind!AD14</f>
        <v>0</v>
      </c>
      <c r="K14" s="97">
        <f t="shared" si="7"/>
        <v>2295459.6538211219</v>
      </c>
      <c r="L14" s="94">
        <f>+hs!B14+hs!G14</f>
        <v>0</v>
      </c>
      <c r="M14" s="96">
        <f>+hs!C14+hs!H14</f>
        <v>0</v>
      </c>
      <c r="N14" s="96">
        <f>+hs!D14+hs!I14</f>
        <v>0</v>
      </c>
      <c r="O14" s="96">
        <f>+hs!E14+hs!J14</f>
        <v>0</v>
      </c>
      <c r="P14" s="97">
        <f t="shared" si="0"/>
        <v>0</v>
      </c>
      <c r="Q14" s="103">
        <f t="shared" si="1"/>
        <v>2006140.5707557404</v>
      </c>
      <c r="R14" s="104">
        <f t="shared" si="2"/>
        <v>0</v>
      </c>
      <c r="S14" s="104">
        <f t="shared" si="3"/>
        <v>289319.08306538151</v>
      </c>
      <c r="T14" s="104">
        <f t="shared" si="4"/>
        <v>0</v>
      </c>
      <c r="U14" s="107">
        <f t="shared" si="5"/>
        <v>2295459.6538211219</v>
      </c>
    </row>
    <row r="15" spans="1:21" x14ac:dyDescent="0.25">
      <c r="A15" s="70"/>
      <c r="F15" s="97"/>
      <c r="G15" s="96"/>
      <c r="H15" s="96"/>
      <c r="I15" s="96"/>
      <c r="J15" s="96"/>
      <c r="K15" s="97"/>
      <c r="L15" s="94"/>
      <c r="M15" s="96"/>
      <c r="N15" s="96"/>
      <c r="O15" s="96"/>
      <c r="P15" s="97"/>
      <c r="Q15" s="103"/>
      <c r="R15" s="104"/>
      <c r="S15" s="104"/>
      <c r="T15" s="104"/>
      <c r="U15" s="107"/>
    </row>
    <row r="16" spans="1:21" x14ac:dyDescent="0.25">
      <c r="A16" s="70" t="s">
        <v>31</v>
      </c>
      <c r="B16" s="94">
        <f>+'1'!S11+'2'!S11+'3'!S11+'4'!S11+'5'!S11</f>
        <v>0</v>
      </c>
      <c r="C16" s="96">
        <f>+'1'!U11/100*'1'!$U$31+'2'!U11/100*'2'!$U$31+'3'!U11/100*'3'!$U$31+'4'!U11/100*'4'!$U$31+'5'!U11/100*'5'!$U$31</f>
        <v>0</v>
      </c>
      <c r="D16" s="96">
        <f>+'1'!V11/100*'1'!$V$31+'2'!V11/100*'2'!$V$31+'3'!V11/100*'3'!$V$31+'4'!V11/100*'4'!$V$31+'5'!V11/100*'5'!$V$31</f>
        <v>0</v>
      </c>
      <c r="E16" s="96">
        <f>+'1'!X11/100*'1'!$X$31+'2'!X11/100*'2'!$X$31+'3'!X11/100*'3'!$X$31+'4'!X11/100*'4'!$X$31+'5'!X11/100*'5'!$X$31</f>
        <v>0</v>
      </c>
      <c r="F16" s="97">
        <f t="shared" si="6"/>
        <v>0</v>
      </c>
      <c r="G16" s="96">
        <f>+ind!B16+ind!G16+ind!L16+ind!Q16+ind!V16+ind!AA16</f>
        <v>3886347.7691444624</v>
      </c>
      <c r="H16" s="96">
        <f>+ind!C16+ind!H16+ind!M16+ind!R16+ind!W16+ind!AB16</f>
        <v>8191.56</v>
      </c>
      <c r="I16" s="96">
        <f>+ind!D16+ind!I16+ind!N16+ind!S16+ind!X16+ind!AC16</f>
        <v>0</v>
      </c>
      <c r="J16" s="96">
        <f>+ind!E16+ind!J16+ind!O16+ind!T16+ind!Y16+ind!AD16</f>
        <v>0</v>
      </c>
      <c r="K16" s="97">
        <f t="shared" si="7"/>
        <v>3894539.3291444625</v>
      </c>
      <c r="L16" s="94">
        <f>+hs!B16+hs!G16</f>
        <v>0</v>
      </c>
      <c r="M16" s="96">
        <f>+hs!C16+hs!H16</f>
        <v>0</v>
      </c>
      <c r="N16" s="96">
        <f>+hs!D16+hs!I16</f>
        <v>0</v>
      </c>
      <c r="O16" s="96">
        <f>+hs!E16+hs!J16</f>
        <v>0</v>
      </c>
      <c r="P16" s="97">
        <f t="shared" si="0"/>
        <v>0</v>
      </c>
      <c r="Q16" s="103">
        <f t="shared" si="1"/>
        <v>3886347.7691444624</v>
      </c>
      <c r="R16" s="104">
        <f t="shared" si="2"/>
        <v>8191.56</v>
      </c>
      <c r="S16" s="104">
        <f t="shared" si="3"/>
        <v>0</v>
      </c>
      <c r="T16" s="104">
        <f t="shared" si="4"/>
        <v>0</v>
      </c>
      <c r="U16" s="107">
        <f t="shared" si="5"/>
        <v>3894539.3291444625</v>
      </c>
    </row>
    <row r="17" spans="1:21" x14ac:dyDescent="0.25">
      <c r="A17" s="70"/>
      <c r="F17" s="97"/>
      <c r="G17" s="96"/>
      <c r="H17" s="96"/>
      <c r="I17" s="96"/>
      <c r="J17" s="96"/>
      <c r="K17" s="97"/>
      <c r="L17" s="94"/>
      <c r="M17" s="96"/>
      <c r="N17" s="96"/>
      <c r="O17" s="96"/>
      <c r="P17" s="97"/>
      <c r="Q17" s="103"/>
      <c r="R17" s="104"/>
      <c r="S17" s="104"/>
      <c r="T17" s="104"/>
      <c r="U17" s="107"/>
    </row>
    <row r="18" spans="1:21" x14ac:dyDescent="0.25">
      <c r="A18" s="70" t="s">
        <v>32</v>
      </c>
      <c r="B18" s="94">
        <f>+'1'!S12+'2'!S12+'3'!S12+'4'!S12+'5'!S12</f>
        <v>0</v>
      </c>
      <c r="C18" s="96">
        <f>+'1'!U12/100*'1'!$U$31+'2'!U12/100*'2'!$U$31+'3'!U12/100*'3'!$U$31+'4'!U12/100*'4'!$U$31+'5'!U12/100*'5'!$U$31</f>
        <v>0</v>
      </c>
      <c r="D18" s="96">
        <f>+'1'!V12/100*'1'!$V$31+'2'!V12/100*'2'!$V$31+'3'!V12/100*'3'!$V$31+'4'!V12/100*'4'!$V$31+'5'!V12/100*'5'!$V$31</f>
        <v>0</v>
      </c>
      <c r="E18" s="96">
        <f>+'1'!X12/100*'1'!$X$31+'2'!X12/100*'2'!$X$31+'3'!X12/100*'3'!$X$31+'4'!X12/100*'4'!$X$31+'5'!X12/100*'5'!$X$31</f>
        <v>0</v>
      </c>
      <c r="F18" s="97">
        <f t="shared" si="6"/>
        <v>0</v>
      </c>
      <c r="G18" s="96">
        <f>+ind!B18+ind!G18+ind!L18+ind!Q18+ind!V18+ind!AA18</f>
        <v>3420987.9567189412</v>
      </c>
      <c r="H18" s="96">
        <f>+ind!C18+ind!H18+ind!M18+ind!R18+ind!W18+ind!AB18</f>
        <v>1640649.3123918823</v>
      </c>
      <c r="I18" s="96">
        <f>+ind!D18+ind!I18+ind!N18+ind!S18+ind!X18+ind!AC18</f>
        <v>0</v>
      </c>
      <c r="J18" s="96">
        <f>+ind!E18+ind!J18+ind!O18+ind!T18+ind!Y18+ind!AD18</f>
        <v>0</v>
      </c>
      <c r="K18" s="97">
        <f t="shared" si="7"/>
        <v>5061637.2691108231</v>
      </c>
      <c r="L18" s="94">
        <f>+hs!B18+hs!G18</f>
        <v>0</v>
      </c>
      <c r="M18" s="96">
        <f>+hs!C18+hs!H18</f>
        <v>0</v>
      </c>
      <c r="N18" s="96">
        <f>+hs!D18+hs!I18</f>
        <v>0</v>
      </c>
      <c r="O18" s="96">
        <f>+hs!E18+hs!J18</f>
        <v>0</v>
      </c>
      <c r="P18" s="97">
        <f t="shared" si="0"/>
        <v>0</v>
      </c>
      <c r="Q18" s="103">
        <f t="shared" si="1"/>
        <v>3420987.9567189412</v>
      </c>
      <c r="R18" s="104">
        <f t="shared" si="2"/>
        <v>1640649.3123918823</v>
      </c>
      <c r="S18" s="104">
        <f t="shared" si="3"/>
        <v>0</v>
      </c>
      <c r="T18" s="104">
        <f t="shared" si="4"/>
        <v>0</v>
      </c>
      <c r="U18" s="107">
        <f t="shared" si="5"/>
        <v>5061637.2691108231</v>
      </c>
    </row>
    <row r="19" spans="1:21" x14ac:dyDescent="0.25">
      <c r="A19" s="70"/>
      <c r="F19" s="97"/>
      <c r="G19" s="96"/>
      <c r="H19" s="96"/>
      <c r="I19" s="96"/>
      <c r="J19" s="96"/>
      <c r="K19" s="97"/>
      <c r="L19" s="94"/>
      <c r="M19" s="96"/>
      <c r="N19" s="96"/>
      <c r="O19" s="96"/>
      <c r="P19" s="97"/>
      <c r="Q19" s="103"/>
      <c r="R19" s="104"/>
      <c r="S19" s="104"/>
      <c r="T19" s="104"/>
      <c r="U19" s="107"/>
    </row>
    <row r="20" spans="1:21" x14ac:dyDescent="0.25">
      <c r="A20" s="70" t="s">
        <v>33</v>
      </c>
      <c r="B20" s="94">
        <f>+'1'!S13+'2'!S13+'3'!S13+'4'!S13+'5'!S13</f>
        <v>7726297.4052499998</v>
      </c>
      <c r="C20" s="96">
        <f>+'1'!U13/100*'1'!$U$31+'2'!U13/100*'2'!$U$31+'3'!U13/100*'3'!$U$31+'4'!U13/100*'4'!$U$31+'5'!U13/100*'5'!$U$31</f>
        <v>327169.62</v>
      </c>
      <c r="D20" s="96">
        <f>+'1'!V13/100*'1'!$V$31+'2'!V13/100*'2'!$V$31+'3'!V13/100*'3'!$V$31+'4'!V13/100*'4'!$V$31+'5'!V13/100*'5'!$V$31</f>
        <v>1489900</v>
      </c>
      <c r="E20" s="96">
        <f>+'1'!X13/100*'1'!$X$31+'2'!X13/100*'2'!$X$31+'3'!X13/100*'3'!$X$31+'4'!X13/100*'4'!$X$31+'5'!X13/100*'5'!$X$31</f>
        <v>384300</v>
      </c>
      <c r="F20" s="97">
        <f t="shared" si="6"/>
        <v>9927667.025249999</v>
      </c>
      <c r="G20" s="96">
        <f>+ind!B20+ind!G20+ind!L20+ind!Q20+ind!V20+ind!AA20</f>
        <v>1383104.443638863</v>
      </c>
      <c r="H20" s="96">
        <f>+ind!C20+ind!H20+ind!M20+ind!R20+ind!W20+ind!AB20</f>
        <v>22435.260000000002</v>
      </c>
      <c r="I20" s="96">
        <f>+ind!D20+ind!I20+ind!N20+ind!S20+ind!X20+ind!AC20</f>
        <v>5433.8805562251191</v>
      </c>
      <c r="J20" s="96">
        <f>+ind!E20+ind!J20+ind!O20+ind!T20+ind!Y20+ind!AD20</f>
        <v>0</v>
      </c>
      <c r="K20" s="97">
        <f t="shared" si="7"/>
        <v>1410973.5841950881</v>
      </c>
      <c r="L20" s="94">
        <f>+hs!B20+hs!G20</f>
        <v>94733.8</v>
      </c>
      <c r="M20" s="96">
        <f>+hs!C20+hs!H20</f>
        <v>603090.09000000008</v>
      </c>
      <c r="N20" s="96">
        <f>+hs!D20+hs!I20</f>
        <v>0</v>
      </c>
      <c r="O20" s="96">
        <f>+hs!E20+hs!J20</f>
        <v>0</v>
      </c>
      <c r="P20" s="97">
        <f t="shared" si="0"/>
        <v>697823.89000000013</v>
      </c>
      <c r="Q20" s="103">
        <f t="shared" si="1"/>
        <v>9204135.6488888636</v>
      </c>
      <c r="R20" s="104">
        <f t="shared" si="2"/>
        <v>952694.97000000009</v>
      </c>
      <c r="S20" s="104">
        <f t="shared" si="3"/>
        <v>1495333.8805562251</v>
      </c>
      <c r="T20" s="104">
        <f t="shared" si="4"/>
        <v>384300</v>
      </c>
      <c r="U20" s="107">
        <f t="shared" si="5"/>
        <v>12036464.49944509</v>
      </c>
    </row>
    <row r="21" spans="1:21" x14ac:dyDescent="0.25">
      <c r="A21" s="70"/>
      <c r="F21" s="97"/>
      <c r="G21" s="96"/>
      <c r="H21" s="96"/>
      <c r="I21" s="96"/>
      <c r="J21" s="96"/>
      <c r="K21" s="97"/>
      <c r="L21" s="94"/>
      <c r="M21" s="96"/>
      <c r="N21" s="96"/>
      <c r="O21" s="96"/>
      <c r="P21" s="97"/>
      <c r="Q21" s="103"/>
      <c r="R21" s="104"/>
      <c r="S21" s="104"/>
      <c r="T21" s="104"/>
      <c r="U21" s="107"/>
    </row>
    <row r="22" spans="1:21" x14ac:dyDescent="0.25">
      <c r="A22" s="70" t="s">
        <v>34</v>
      </c>
      <c r="B22" s="94">
        <f>+'1'!S14+'2'!S14+'3'!S14+'4'!S14+'5'!S14</f>
        <v>192790.14474999995</v>
      </c>
      <c r="C22" s="96">
        <f>+'1'!U14/100*'1'!$U$31+'2'!U14/100*'2'!$U$31+'3'!U14/100*'3'!$U$31+'4'!U14/100*'4'!$U$31+'5'!U14/100*'5'!$U$31</f>
        <v>0</v>
      </c>
      <c r="D22" s="96">
        <f>+'1'!V14/100*'1'!$V$31+'2'!V14/100*'2'!$V$31+'3'!V14/100*'3'!$V$31+'4'!V14/100*'4'!$V$31+'5'!V14/100*'5'!$V$31</f>
        <v>0</v>
      </c>
      <c r="E22" s="96">
        <f>+'1'!X14/100*'1'!$X$31+'2'!X14/100*'2'!$X$31+'3'!X14/100*'3'!$X$31+'4'!X14/100*'4'!$X$31+'5'!X14/100*'5'!$X$31</f>
        <v>0</v>
      </c>
      <c r="F22" s="97">
        <f t="shared" si="6"/>
        <v>192790.14474999995</v>
      </c>
      <c r="G22" s="96">
        <f>+ind!B22+ind!G22+ind!L22+ind!Q22+ind!V22+ind!AA22</f>
        <v>3214883.3072507572</v>
      </c>
      <c r="H22" s="96">
        <f>+ind!C22+ind!H22+ind!M22+ind!R22+ind!W22+ind!AB22</f>
        <v>420627.81</v>
      </c>
      <c r="I22" s="96">
        <f>+ind!D22+ind!I22+ind!N22+ind!S22+ind!X22+ind!AC22</f>
        <v>0</v>
      </c>
      <c r="J22" s="96">
        <f>+ind!E22+ind!J22+ind!O22+ind!T22+ind!Y22+ind!AD22</f>
        <v>0</v>
      </c>
      <c r="K22" s="97">
        <f t="shared" si="7"/>
        <v>3635511.1172507573</v>
      </c>
      <c r="L22" s="94">
        <f>+hs!B22+hs!G22</f>
        <v>0</v>
      </c>
      <c r="M22" s="96">
        <f>+hs!C22+hs!H22</f>
        <v>0</v>
      </c>
      <c r="N22" s="96">
        <f>+hs!D22+hs!I22</f>
        <v>0</v>
      </c>
      <c r="O22" s="96">
        <f>+hs!E22+hs!J22</f>
        <v>0</v>
      </c>
      <c r="P22" s="97">
        <f t="shared" si="0"/>
        <v>0</v>
      </c>
      <c r="Q22" s="103">
        <f t="shared" si="1"/>
        <v>3407673.4520007572</v>
      </c>
      <c r="R22" s="104">
        <f t="shared" si="2"/>
        <v>420627.81</v>
      </c>
      <c r="S22" s="104">
        <f t="shared" si="3"/>
        <v>0</v>
      </c>
      <c r="T22" s="104">
        <f t="shared" si="4"/>
        <v>0</v>
      </c>
      <c r="U22" s="107">
        <f t="shared" si="5"/>
        <v>3828301.2620007573</v>
      </c>
    </row>
    <row r="23" spans="1:21" x14ac:dyDescent="0.25">
      <c r="A23" s="70"/>
      <c r="F23" s="97"/>
      <c r="G23" s="96"/>
      <c r="H23" s="96"/>
      <c r="I23" s="96"/>
      <c r="J23" s="96"/>
      <c r="K23" s="97"/>
      <c r="L23" s="94"/>
      <c r="M23" s="96"/>
      <c r="N23" s="96"/>
      <c r="O23" s="96"/>
      <c r="P23" s="97"/>
      <c r="Q23" s="103"/>
      <c r="R23" s="104"/>
      <c r="S23" s="104"/>
      <c r="T23" s="104"/>
      <c r="U23" s="107"/>
    </row>
    <row r="24" spans="1:21" x14ac:dyDescent="0.25">
      <c r="A24" s="70" t="s">
        <v>35</v>
      </c>
      <c r="B24" s="94">
        <f>+'1'!S15+'2'!S15+'3'!S15+'4'!S15+'5'!S15</f>
        <v>16984990.292749997</v>
      </c>
      <c r="C24" s="96">
        <f>+'1'!U15/100*'1'!$U$31+'2'!U15/100*'2'!$U$31+'3'!U15/100*'3'!$U$31+'4'!U15/100*'4'!$U$31+'5'!U15/100*'5'!$U$31</f>
        <v>0</v>
      </c>
      <c r="D24" s="96">
        <f>+'1'!V15/100*'1'!$V$31+'2'!V15/100*'2'!$V$31+'3'!V15/100*'3'!$V$31+'4'!V15/100*'4'!$V$31+'5'!V15/100*'5'!$V$31</f>
        <v>0</v>
      </c>
      <c r="E24" s="96">
        <f>+'1'!X15/100*'1'!$X$31+'2'!X15/100*'2'!$X$31+'3'!X15/100*'3'!$X$31+'4'!X15/100*'4'!$X$31+'5'!X15/100*'5'!$X$31</f>
        <v>0</v>
      </c>
      <c r="F24" s="97">
        <f t="shared" si="6"/>
        <v>16984990.292749997</v>
      </c>
      <c r="G24" s="96">
        <f>+ind!B24+ind!G24+ind!L24+ind!Q24+ind!V24+ind!AA24</f>
        <v>982463.90609283524</v>
      </c>
      <c r="H24" s="87">
        <f>+ind!C24+ind!H24+ind!M24+ind!R24+ind!W24+ind!AB24</f>
        <v>7801.03</v>
      </c>
      <c r="I24" s="96">
        <f>+ind!D24+ind!I24+ind!N24+ind!S24+ind!X24+ind!AC24</f>
        <v>0</v>
      </c>
      <c r="J24" s="96">
        <f>+ind!E24+ind!J24+ind!O24+ind!T24+ind!Y24+ind!AD24</f>
        <v>0</v>
      </c>
      <c r="K24" s="97">
        <f t="shared" si="7"/>
        <v>990264.93609283527</v>
      </c>
      <c r="L24" s="94">
        <f>+hs!B24+hs!G24</f>
        <v>144086.89000000001</v>
      </c>
      <c r="M24" s="96">
        <f>+hs!C24+hs!H24</f>
        <v>0</v>
      </c>
      <c r="N24" s="96">
        <f>+hs!D24+hs!I24</f>
        <v>0</v>
      </c>
      <c r="O24" s="96">
        <f>+hs!E24+hs!J24</f>
        <v>0</v>
      </c>
      <c r="P24" s="97">
        <f t="shared" si="0"/>
        <v>144086.89000000001</v>
      </c>
      <c r="Q24" s="103">
        <f t="shared" si="1"/>
        <v>18111541.088842832</v>
      </c>
      <c r="R24" s="104">
        <f t="shared" si="2"/>
        <v>7801.03</v>
      </c>
      <c r="S24" s="104">
        <f t="shared" si="3"/>
        <v>0</v>
      </c>
      <c r="T24" s="104">
        <f t="shared" si="4"/>
        <v>0</v>
      </c>
      <c r="U24" s="107">
        <f t="shared" si="5"/>
        <v>18119342.118842833</v>
      </c>
    </row>
    <row r="25" spans="1:21" x14ac:dyDescent="0.25">
      <c r="A25" s="70"/>
      <c r="F25" s="97"/>
      <c r="G25" s="96"/>
      <c r="H25" s="96"/>
      <c r="I25" s="96"/>
      <c r="J25" s="96"/>
      <c r="K25" s="97"/>
      <c r="L25" s="94"/>
      <c r="M25" s="96"/>
      <c r="N25" s="96"/>
      <c r="O25" s="96"/>
      <c r="P25" s="97"/>
      <c r="Q25" s="103"/>
      <c r="R25" s="104"/>
      <c r="S25" s="104"/>
      <c r="T25" s="104"/>
      <c r="U25" s="107"/>
    </row>
    <row r="26" spans="1:21" x14ac:dyDescent="0.25">
      <c r="A26" s="70" t="s">
        <v>36</v>
      </c>
      <c r="B26" s="94">
        <f>+'1'!S16+'2'!S16+'3'!S16+'4'!S16+'5'!S16</f>
        <v>498131</v>
      </c>
      <c r="C26" s="96">
        <f>+'1'!U16/100*'1'!$U$31+'2'!U16/100*'2'!$U$31+'3'!U16/100*'3'!$U$31+'4'!U16/100*'4'!$U$31+'5'!U16/100*'5'!$U$31</f>
        <v>0</v>
      </c>
      <c r="D26" s="96">
        <f>+'1'!V16/100*'1'!$V$31+'2'!V16/100*'2'!$V$31+'3'!V16/100*'3'!$V$31+'4'!V16/100*'4'!$V$31+'5'!V16/100*'5'!$V$31</f>
        <v>0</v>
      </c>
      <c r="E26" s="96">
        <f>+'1'!X16/100*'1'!$X$31+'2'!X16/100*'2'!$X$31+'3'!X16/100*'3'!$X$31+'4'!X16/100*'4'!$X$31+'5'!X16/100*'5'!$X$31</f>
        <v>0</v>
      </c>
      <c r="F26" s="97">
        <f t="shared" si="6"/>
        <v>498131</v>
      </c>
      <c r="G26" s="96">
        <f>+ind!B26+ind!G26+ind!L26+ind!Q26+ind!V26+ind!AA26</f>
        <v>4295517.8466270817</v>
      </c>
      <c r="H26" s="96">
        <f>+ind!C26+ind!H26+ind!M26+ind!R26+ind!W26+ind!AB26</f>
        <v>0</v>
      </c>
      <c r="I26" s="96">
        <f>+ind!D26+ind!I26+ind!N26+ind!S26+ind!X26+ind!AC26</f>
        <v>56068</v>
      </c>
      <c r="J26" s="96">
        <f>+ind!E26+ind!J26+ind!O26+ind!T26+ind!Y26+ind!AD26</f>
        <v>30642</v>
      </c>
      <c r="K26" s="97">
        <f>SUM(G26:J26)</f>
        <v>4382227.8466270817</v>
      </c>
      <c r="L26" s="94">
        <f>+hs!B26+hs!G26</f>
        <v>19540514.460000001</v>
      </c>
      <c r="M26" s="96">
        <f>+hs!C26+hs!H26</f>
        <v>0</v>
      </c>
      <c r="N26" s="96">
        <f>+hs!D26+hs!I26</f>
        <v>0</v>
      </c>
      <c r="O26" s="96">
        <f>+hs!E26+hs!J26</f>
        <v>0</v>
      </c>
      <c r="P26" s="97">
        <f t="shared" si="0"/>
        <v>19540514.460000001</v>
      </c>
      <c r="Q26" s="103">
        <f t="shared" si="1"/>
        <v>24334163.306627084</v>
      </c>
      <c r="R26" s="104">
        <f t="shared" si="2"/>
        <v>0</v>
      </c>
      <c r="S26" s="104">
        <f t="shared" si="3"/>
        <v>56068</v>
      </c>
      <c r="T26" s="104">
        <f t="shared" si="4"/>
        <v>30642</v>
      </c>
      <c r="U26" s="107">
        <f t="shared" si="5"/>
        <v>24420873.306627084</v>
      </c>
    </row>
    <row r="27" spans="1:21" x14ac:dyDescent="0.25">
      <c r="A27" s="70"/>
      <c r="F27" s="97"/>
      <c r="G27" s="96"/>
      <c r="H27" s="96"/>
      <c r="I27" s="96"/>
      <c r="J27" s="96"/>
      <c r="K27" s="97"/>
      <c r="L27" s="94"/>
      <c r="M27" s="96"/>
      <c r="N27" s="96"/>
      <c r="O27" s="96"/>
      <c r="P27" s="97"/>
      <c r="Q27" s="103"/>
      <c r="R27" s="104"/>
      <c r="S27" s="104"/>
      <c r="T27" s="104"/>
      <c r="U27" s="107"/>
    </row>
    <row r="28" spans="1:21" x14ac:dyDescent="0.25">
      <c r="A28" s="70" t="s">
        <v>37</v>
      </c>
      <c r="B28" s="94">
        <f>+'1'!S17+'2'!S17+'3'!S17+'4'!S17+'5'!S17</f>
        <v>147822.97999999998</v>
      </c>
      <c r="C28" s="96">
        <f>+'1'!U17/100*'1'!$U$31+'2'!U17/100*'2'!$U$31+'3'!U17/100*'3'!$U$31+'4'!U17/100*'4'!$U$31+'5'!U17/100*'5'!$U$31</f>
        <v>0</v>
      </c>
      <c r="D28" s="96">
        <f>+'1'!V17/100*'1'!$V$31+'2'!V17/100*'2'!$V$31+'3'!V17/100*'3'!$V$31+'4'!V17/100*'4'!$V$31+'5'!V17/100*'5'!$V$31</f>
        <v>15850</v>
      </c>
      <c r="E28" s="96">
        <f>+'1'!X17/100*'1'!$X$31+'2'!X17/100*'2'!$X$31+'3'!X17/100*'3'!$X$31+'4'!X17/100*'4'!$X$31+'5'!X17/100*'5'!$X$31</f>
        <v>0</v>
      </c>
      <c r="F28" s="97">
        <f t="shared" si="6"/>
        <v>163672.97999999998</v>
      </c>
      <c r="G28" s="96">
        <f>+ind!B28+ind!G28+ind!L28+ind!Q28+ind!V28+ind!AA28</f>
        <v>6161889.1853335332</v>
      </c>
      <c r="H28" s="96">
        <f>+ind!C28+ind!H28+ind!M28+ind!R28+ind!W28+ind!AB28</f>
        <v>124816.97414264687</v>
      </c>
      <c r="I28" s="96">
        <f>+ind!D28+ind!I28+ind!N28+ind!S28+ind!X28+ind!AC28</f>
        <v>3037735.4738305882</v>
      </c>
      <c r="J28" s="96">
        <f>+ind!E28+ind!J28+ind!O28+ind!T28+ind!Y28+ind!AD28</f>
        <v>982916</v>
      </c>
      <c r="K28" s="97">
        <f>SUM(G28:J28)</f>
        <v>10307357.633306768</v>
      </c>
      <c r="L28" s="94">
        <f>+hs!B28+hs!G28</f>
        <v>5353697.4533999991</v>
      </c>
      <c r="M28" s="96">
        <f>+hs!C28+hs!H28</f>
        <v>1019341.7099533334</v>
      </c>
      <c r="N28" s="96">
        <f>+hs!D28+hs!I28</f>
        <v>17751663.130000003</v>
      </c>
      <c r="O28" s="96">
        <f>+hs!E28+hs!J28</f>
        <v>0</v>
      </c>
      <c r="P28" s="97">
        <f t="shared" si="0"/>
        <v>24124702.293353334</v>
      </c>
      <c r="Q28" s="103">
        <f t="shared" si="1"/>
        <v>11663409.618733533</v>
      </c>
      <c r="R28" s="104">
        <f t="shared" si="2"/>
        <v>1144158.6840959801</v>
      </c>
      <c r="S28" s="104">
        <f t="shared" si="3"/>
        <v>20805248.603830591</v>
      </c>
      <c r="T28" s="104">
        <f t="shared" si="4"/>
        <v>982916</v>
      </c>
      <c r="U28" s="107">
        <f t="shared" si="5"/>
        <v>34595732.906660102</v>
      </c>
    </row>
    <row r="29" spans="1:21" x14ac:dyDescent="0.25">
      <c r="A29" s="70"/>
      <c r="F29" s="97"/>
      <c r="G29" s="96"/>
      <c r="H29" s="96"/>
      <c r="I29" s="96"/>
      <c r="J29" s="96"/>
      <c r="K29" s="97"/>
      <c r="L29" s="94"/>
      <c r="M29" s="96"/>
      <c r="N29" s="96"/>
      <c r="O29" s="96"/>
      <c r="P29" s="97"/>
      <c r="Q29" s="103"/>
      <c r="R29" s="104"/>
      <c r="S29" s="104"/>
      <c r="T29" s="104"/>
      <c r="U29" s="107"/>
    </row>
    <row r="30" spans="1:21" x14ac:dyDescent="0.25">
      <c r="A30" s="70" t="s">
        <v>38</v>
      </c>
      <c r="B30" s="94">
        <f>+'1'!S18+'2'!S18+'3'!S18+'4'!S18+'5'!S18</f>
        <v>0</v>
      </c>
      <c r="C30" s="96">
        <f>+'1'!U18/100*'1'!$U$31+'2'!U18/100*'2'!$U$31+'3'!U18/100*'3'!$U$31+'4'!U18/100*'4'!$U$31+'5'!U18/100*'5'!$U$31</f>
        <v>218113.08000000002</v>
      </c>
      <c r="D30" s="96">
        <f>+'1'!V18/100*'1'!$V$31+'2'!V18/100*'2'!$V$31+'3'!V18/100*'3'!$V$31+'4'!V18/100*'4'!$V$31+'5'!V18/100*'5'!$V$31</f>
        <v>0</v>
      </c>
      <c r="E30" s="96">
        <f>+'1'!X18/100*'1'!$X$31+'2'!X18/100*'2'!$X$31+'3'!X18/100*'3'!$X$31+'4'!X18/100*'4'!$X$31+'5'!X18/100*'5'!$X$31</f>
        <v>0</v>
      </c>
      <c r="F30" s="97">
        <f t="shared" si="6"/>
        <v>218113.08000000002</v>
      </c>
      <c r="G30" s="96">
        <f>+ind!B30+ind!G30+ind!L30+ind!Q30+ind!V30+ind!AA30</f>
        <v>0</v>
      </c>
      <c r="H30" s="96">
        <f>+ind!C30+ind!H30+ind!M30+ind!R30+ind!W30+ind!AB30</f>
        <v>398740.05559538538</v>
      </c>
      <c r="I30" s="96">
        <f>+ind!D30+ind!I30+ind!N30+ind!S30+ind!X30+ind!AC30</f>
        <v>0</v>
      </c>
      <c r="J30" s="87">
        <f>+ind!E30+ind!J30+ind!O30+ind!T30+ind!Y30+ind!AD30</f>
        <v>0</v>
      </c>
      <c r="K30" s="97">
        <f>SUM(G30:J30)</f>
        <v>398740.05559538538</v>
      </c>
      <c r="L30" s="94">
        <f>+hs!B30+hs!G30</f>
        <v>0</v>
      </c>
      <c r="M30" s="96">
        <f>+hs!C30+hs!H30</f>
        <v>0</v>
      </c>
      <c r="N30" s="96">
        <f>+hs!D30+hs!I30</f>
        <v>0</v>
      </c>
      <c r="O30" s="96">
        <f>+hs!E30+hs!J30</f>
        <v>0</v>
      </c>
      <c r="P30" s="97">
        <f t="shared" si="0"/>
        <v>0</v>
      </c>
      <c r="Q30" s="103">
        <f t="shared" si="1"/>
        <v>0</v>
      </c>
      <c r="R30" s="104">
        <f t="shared" si="2"/>
        <v>616853.13559538545</v>
      </c>
      <c r="S30" s="104">
        <f t="shared" si="3"/>
        <v>0</v>
      </c>
      <c r="T30" s="104">
        <f t="shared" si="4"/>
        <v>0</v>
      </c>
      <c r="U30" s="107">
        <f t="shared" si="5"/>
        <v>616853.13559538545</v>
      </c>
    </row>
    <row r="31" spans="1:21" x14ac:dyDescent="0.25">
      <c r="A31" s="70"/>
      <c r="F31" s="97"/>
      <c r="G31" s="96"/>
      <c r="H31" s="96"/>
      <c r="I31" s="96"/>
      <c r="J31" s="96"/>
      <c r="K31" s="97"/>
      <c r="L31" s="94"/>
      <c r="M31" s="96"/>
      <c r="N31" s="96"/>
      <c r="O31" s="96"/>
      <c r="P31" s="97"/>
      <c r="Q31" s="103"/>
      <c r="R31" s="104"/>
      <c r="S31" s="104"/>
      <c r="T31" s="104"/>
      <c r="U31" s="107"/>
    </row>
    <row r="32" spans="1:21" x14ac:dyDescent="0.25">
      <c r="A32" s="70" t="s">
        <v>39</v>
      </c>
      <c r="B32" s="94">
        <f>+'1'!S19+'2'!S19+'3'!S19+'4'!S19+'5'!S19</f>
        <v>0</v>
      </c>
      <c r="C32" s="96">
        <f>+'1'!U19/100*'1'!$U$31+'2'!U19/100*'2'!$U$31+'3'!U19/100*'3'!$U$31+'4'!U19/100*'4'!$U$31+'5'!U19/100*'5'!$U$31</f>
        <v>1360459.0799999998</v>
      </c>
      <c r="D32" s="96">
        <f>+'1'!V19/100*'1'!$V$31+'2'!V19/100*'2'!$V$31+'3'!V19/100*'3'!$V$31+'4'!V19/100*'4'!$V$31+'5'!V19/100*'5'!$V$31</f>
        <v>0</v>
      </c>
      <c r="E32" s="96">
        <f>+'1'!X19/100*'1'!$X$31+'2'!X19/100*'2'!$X$31+'3'!X19/100*'3'!$X$31+'4'!X19/100*'4'!$X$31+'5'!X19/100*'5'!$X$31</f>
        <v>0</v>
      </c>
      <c r="F32" s="97">
        <f t="shared" si="6"/>
        <v>1360459.0799999998</v>
      </c>
      <c r="G32" s="96">
        <f>+ind!B32+ind!G32+ind!L32+ind!Q32+ind!V32+ind!AA32</f>
        <v>0</v>
      </c>
      <c r="H32" s="96">
        <f>+ind!C32+ind!H32+ind!M32+ind!R32+ind!W32+ind!AB32</f>
        <v>1832205.7986055682</v>
      </c>
      <c r="I32" s="96">
        <f>+ind!D32+ind!I32+ind!N32+ind!S32+ind!X32+ind!AC32</f>
        <v>0</v>
      </c>
      <c r="J32" s="96">
        <f>+ind!E32+ind!J32+ind!O32+ind!T32+ind!Y32+ind!AD32</f>
        <v>0</v>
      </c>
      <c r="K32" s="97">
        <f t="shared" si="7"/>
        <v>1832205.7986055682</v>
      </c>
      <c r="L32" s="94">
        <f>+hs!B32+hs!G32</f>
        <v>0</v>
      </c>
      <c r="M32" s="96">
        <f>+hs!C32+hs!H32</f>
        <v>8278308.3932748288</v>
      </c>
      <c r="N32" s="96">
        <f>+hs!D32+hs!I32</f>
        <v>0</v>
      </c>
      <c r="O32" s="96">
        <f>+hs!E32+hs!J32</f>
        <v>0</v>
      </c>
      <c r="P32" s="97">
        <f t="shared" si="0"/>
        <v>8278308.3932748288</v>
      </c>
      <c r="Q32" s="103">
        <f t="shared" si="1"/>
        <v>0</v>
      </c>
      <c r="R32" s="104">
        <f t="shared" si="2"/>
        <v>11470973.271880396</v>
      </c>
      <c r="S32" s="104">
        <f t="shared" si="3"/>
        <v>0</v>
      </c>
      <c r="T32" s="104">
        <f t="shared" si="4"/>
        <v>0</v>
      </c>
      <c r="U32" s="107">
        <f t="shared" si="5"/>
        <v>11470973.271880396</v>
      </c>
    </row>
    <row r="33" spans="1:21" x14ac:dyDescent="0.25">
      <c r="A33" s="70"/>
      <c r="D33" s="96"/>
      <c r="E33" s="96"/>
      <c r="F33" s="97"/>
      <c r="G33" s="96"/>
      <c r="H33" s="96"/>
      <c r="I33" s="96"/>
      <c r="J33" s="96"/>
      <c r="K33" s="97"/>
      <c r="L33" s="94"/>
      <c r="M33" s="96"/>
      <c r="N33" s="96"/>
      <c r="O33" s="96"/>
      <c r="P33" s="97"/>
      <c r="Q33" s="103"/>
      <c r="R33" s="104"/>
      <c r="S33" s="104"/>
      <c r="T33" s="104"/>
      <c r="U33" s="107"/>
    </row>
    <row r="34" spans="1:21" x14ac:dyDescent="0.25">
      <c r="A34" s="70" t="s">
        <v>40</v>
      </c>
      <c r="B34" s="94">
        <f>+'1'!S20+'2'!S20+'3'!S20+'4'!S20+'5'!S20</f>
        <v>0</v>
      </c>
      <c r="C34" s="96">
        <f>+'1'!U20/100*'1'!$U$31+'2'!U20/100*'2'!$U$31+'3'!U20/100*'3'!$U$31+'4'!U20/100*'4'!$U$31+'5'!U20/100*'5'!$U$31</f>
        <v>1386305.42</v>
      </c>
      <c r="D34" s="96">
        <f>+'1'!V20/100*'1'!$V$31+'2'!V20/100*'2'!$V$31+'3'!V20/100*'3'!$V$31+'4'!V20/100*'4'!$V$31+'5'!V20/100*'5'!$V$31</f>
        <v>0</v>
      </c>
      <c r="E34" s="96">
        <f>+'1'!X20/100*'1'!$X$31+'2'!X20/100*'2'!$X$31+'3'!X20/100*'3'!$X$31+'4'!X20/100*'4'!$X$31+'5'!X20/100*'5'!$X$31</f>
        <v>0</v>
      </c>
      <c r="F34" s="97">
        <f t="shared" si="6"/>
        <v>1386305.42</v>
      </c>
      <c r="G34" s="96">
        <f>+ind!B34+ind!G34+ind!L34+ind!Q34+ind!V34+ind!AA34</f>
        <v>0</v>
      </c>
      <c r="H34" s="96">
        <f>+ind!C34+ind!H34+ind!M34+ind!R34+ind!W34+ind!AB34</f>
        <v>2635220.7529592547</v>
      </c>
      <c r="I34" s="96">
        <f>+ind!D34+ind!I34+ind!N34+ind!S34+ind!X34+ind!AC34</f>
        <v>0</v>
      </c>
      <c r="J34" s="96">
        <f>+ind!E34+ind!J34+ind!O34+ind!T34+ind!Y34+ind!AD34</f>
        <v>0</v>
      </c>
      <c r="K34" s="97">
        <f t="shared" si="7"/>
        <v>2635220.7529592547</v>
      </c>
      <c r="L34" s="94">
        <f>+hs!B34+hs!G34</f>
        <v>0</v>
      </c>
      <c r="M34" s="96">
        <f>+hs!C34+hs!H34</f>
        <v>540262.51348751946</v>
      </c>
      <c r="N34" s="96">
        <f>+hs!D34+hs!I34</f>
        <v>0</v>
      </c>
      <c r="O34" s="96">
        <f>+hs!E34+hs!J34</f>
        <v>0</v>
      </c>
      <c r="P34" s="97">
        <f t="shared" si="0"/>
        <v>540262.51348751946</v>
      </c>
      <c r="Q34" s="103">
        <f t="shared" si="1"/>
        <v>0</v>
      </c>
      <c r="R34" s="104">
        <f t="shared" si="2"/>
        <v>4561788.6864467738</v>
      </c>
      <c r="S34" s="104">
        <f t="shared" si="3"/>
        <v>0</v>
      </c>
      <c r="T34" s="104">
        <f t="shared" si="4"/>
        <v>0</v>
      </c>
      <c r="U34" s="107">
        <f t="shared" si="5"/>
        <v>4561788.6864467738</v>
      </c>
    </row>
    <row r="35" spans="1:21" x14ac:dyDescent="0.25">
      <c r="A35" s="70"/>
      <c r="F35" s="97"/>
      <c r="G35" s="96"/>
      <c r="H35" s="96"/>
      <c r="I35" s="96"/>
      <c r="J35" s="96"/>
      <c r="K35" s="97"/>
      <c r="L35" s="94"/>
      <c r="M35" s="96"/>
      <c r="N35" s="96"/>
      <c r="O35" s="96"/>
      <c r="P35" s="97"/>
      <c r="Q35" s="103"/>
      <c r="R35" s="104"/>
      <c r="S35" s="104"/>
      <c r="T35" s="104"/>
      <c r="U35" s="107"/>
    </row>
    <row r="36" spans="1:21" x14ac:dyDescent="0.25">
      <c r="A36" s="70" t="s">
        <v>41</v>
      </c>
      <c r="B36" s="94">
        <f>+'1'!S21+'2'!S21+'3'!S21+'4'!S21+'5'!S21</f>
        <v>0</v>
      </c>
      <c r="C36" s="96">
        <f>+'1'!U21/100*'1'!$U$31+'2'!U21/100*'2'!$U$31+'3'!U21/100*'3'!$U$31+'4'!U21/100*'4'!$U$31+'5'!U21/100*'5'!$U$31</f>
        <v>0</v>
      </c>
      <c r="D36" s="96">
        <f>+'1'!V21/100*'1'!$V$31+'2'!V21/100*'2'!$V$31+'3'!V21/100*'3'!$V$31+'4'!V21/100*'4'!$V$31+'5'!V21/100*'5'!$V$31</f>
        <v>0</v>
      </c>
      <c r="E36" s="96">
        <f>+'1'!X21/100*'1'!$X$31+'2'!X21/100*'2'!$X$31+'3'!X21/100*'3'!$X$31+'4'!X21/100*'4'!$X$31+'5'!X21/100*'5'!$X$31</f>
        <v>0</v>
      </c>
      <c r="F36" s="97">
        <f t="shared" si="6"/>
        <v>0</v>
      </c>
      <c r="G36" s="96">
        <f>+ind!B36+ind!G36+ind!L36+ind!Q36+ind!V36+ind!AA36</f>
        <v>0</v>
      </c>
      <c r="H36" s="96">
        <f>+ind!C36+ind!H36+ind!M36+ind!R36+ind!W36+ind!AB36</f>
        <v>235203.19104089803</v>
      </c>
      <c r="I36" s="96">
        <f>+ind!D36+ind!I36+ind!N36+ind!S36+ind!X36+ind!AC36</f>
        <v>0</v>
      </c>
      <c r="J36" s="96">
        <f>+ind!E36+ind!J36+ind!O36+ind!T36+ind!Y36+ind!AD36</f>
        <v>0</v>
      </c>
      <c r="K36" s="97">
        <f t="shared" si="7"/>
        <v>235203.19104089803</v>
      </c>
      <c r="L36" s="94">
        <f>+hs!B36+hs!G36</f>
        <v>0</v>
      </c>
      <c r="M36" s="96">
        <f>+hs!C36+hs!H36</f>
        <v>1998083.9224444446</v>
      </c>
      <c r="N36" s="96">
        <f>+hs!D36+hs!I36</f>
        <v>0</v>
      </c>
      <c r="O36" s="96">
        <f>+hs!E36+hs!J36</f>
        <v>0</v>
      </c>
      <c r="P36" s="97">
        <f t="shared" si="0"/>
        <v>1998083.9224444446</v>
      </c>
      <c r="Q36" s="103">
        <f t="shared" si="1"/>
        <v>0</v>
      </c>
      <c r="R36" s="104">
        <f t="shared" si="2"/>
        <v>2233287.1134853428</v>
      </c>
      <c r="S36" s="104">
        <f t="shared" si="3"/>
        <v>0</v>
      </c>
      <c r="T36" s="104">
        <f t="shared" si="4"/>
        <v>0</v>
      </c>
      <c r="U36" s="107">
        <f t="shared" si="5"/>
        <v>2233287.1134853428</v>
      </c>
    </row>
    <row r="37" spans="1:21" x14ac:dyDescent="0.25">
      <c r="A37" s="70"/>
      <c r="D37" s="96"/>
      <c r="E37" s="96"/>
      <c r="F37" s="97"/>
      <c r="G37" s="96"/>
      <c r="H37" s="96"/>
      <c r="I37" s="96"/>
      <c r="J37" s="96"/>
      <c r="K37" s="97"/>
      <c r="L37" s="94"/>
      <c r="M37" s="96"/>
      <c r="N37" s="96"/>
      <c r="O37" s="96"/>
      <c r="P37" s="97"/>
      <c r="Q37" s="103"/>
      <c r="R37" s="104"/>
      <c r="S37" s="104"/>
      <c r="T37" s="104"/>
      <c r="U37" s="107"/>
    </row>
    <row r="38" spans="1:21" x14ac:dyDescent="0.25">
      <c r="A38" s="70" t="s">
        <v>42</v>
      </c>
      <c r="B38" s="94">
        <f>+'1'!S22+'2'!S22+'3'!S22+'4'!S22+'5'!S22</f>
        <v>0</v>
      </c>
      <c r="C38" s="96">
        <f>+'1'!U22/100*'1'!$U$31+'2'!U22/100*'2'!$U$31+'3'!U22/100*'3'!$U$31+'4'!U22/100*'4'!$U$31+'5'!U22/100*'5'!$U$31</f>
        <v>575560.85000000009</v>
      </c>
      <c r="D38" s="96">
        <f>+'1'!V22/100*'1'!$V$31+'2'!V22/100*'2'!$V$31+'3'!V22/100*'3'!$V$31+'4'!V22/100*'4'!$V$31+'5'!V22/100*'5'!$V$31</f>
        <v>0</v>
      </c>
      <c r="E38" s="96">
        <f>+'1'!X22/100*'1'!$X$31+'2'!X22/100*'2'!$X$31+'3'!X22/100*'3'!$X$31+'4'!X22/100*'4'!$X$31+'5'!X22/100*'5'!$X$31</f>
        <v>0</v>
      </c>
      <c r="F38" s="97">
        <f t="shared" si="6"/>
        <v>575560.85000000009</v>
      </c>
      <c r="G38" s="96">
        <f>+ind!B38+ind!G38+ind!L38+ind!Q38+ind!V38+ind!AA38</f>
        <v>0</v>
      </c>
      <c r="H38" s="96">
        <f>+ind!C38+ind!H38+ind!M38+ind!R38+ind!W38+ind!AB38</f>
        <v>2567226.335156091</v>
      </c>
      <c r="I38" s="96">
        <f>+ind!D38+ind!I38+ind!N38+ind!S38+ind!X38+ind!AC38</f>
        <v>0</v>
      </c>
      <c r="J38" s="96">
        <f>+ind!E38+ind!J38+ind!O38+ind!T38+ind!Y38+ind!AD38</f>
        <v>0</v>
      </c>
      <c r="K38" s="97">
        <f t="shared" si="7"/>
        <v>2567226.335156091</v>
      </c>
      <c r="L38" s="94">
        <f>+hs!B38+hs!G38</f>
        <v>0</v>
      </c>
      <c r="M38" s="96">
        <f>+hs!C38+hs!H38</f>
        <v>3074576.1811886542</v>
      </c>
      <c r="N38" s="96">
        <f>+hs!D38+hs!I38</f>
        <v>0</v>
      </c>
      <c r="O38" s="96">
        <f>+hs!E38+hs!J38</f>
        <v>0</v>
      </c>
      <c r="P38" s="97">
        <f t="shared" si="0"/>
        <v>3074576.1811886542</v>
      </c>
      <c r="Q38" s="103">
        <f t="shared" si="1"/>
        <v>0</v>
      </c>
      <c r="R38" s="104">
        <f t="shared" si="2"/>
        <v>6217363.3663447453</v>
      </c>
      <c r="S38" s="104">
        <f t="shared" si="3"/>
        <v>0</v>
      </c>
      <c r="T38" s="104">
        <f t="shared" si="4"/>
        <v>0</v>
      </c>
      <c r="U38" s="107">
        <f t="shared" si="5"/>
        <v>6217363.3663447453</v>
      </c>
    </row>
    <row r="39" spans="1:21" x14ac:dyDescent="0.25">
      <c r="A39" s="70"/>
      <c r="D39" s="96"/>
      <c r="E39" s="96"/>
      <c r="F39" s="97"/>
      <c r="G39" s="96"/>
      <c r="H39" s="96"/>
      <c r="I39" s="96"/>
      <c r="J39" s="96"/>
      <c r="K39" s="97"/>
      <c r="L39" s="94"/>
      <c r="M39" s="96"/>
      <c r="N39" s="96"/>
      <c r="O39" s="96"/>
      <c r="P39" s="97"/>
      <c r="Q39" s="103"/>
      <c r="R39" s="104"/>
      <c r="S39" s="104"/>
      <c r="T39" s="104"/>
      <c r="U39" s="107"/>
    </row>
    <row r="40" spans="1:21" x14ac:dyDescent="0.25">
      <c r="A40" s="70" t="s">
        <v>43</v>
      </c>
      <c r="B40" s="94">
        <f>+'1'!S23+'2'!S23+'3'!S23+'4'!S23+'5'!S23</f>
        <v>0</v>
      </c>
      <c r="C40" s="96">
        <f>+'1'!U23/100*'1'!$U$31+'2'!U23/100*'2'!$U$31+'3'!U23/100*'3'!$U$31+'4'!U23/100*'4'!$U$31+'5'!U23/100*'5'!$U$31</f>
        <v>662319.24</v>
      </c>
      <c r="D40" s="96">
        <f>+'1'!V23/100*'1'!$V$31+'2'!V23/100*'2'!$V$31+'3'!V23/100*'3'!$V$31+'4'!V23/100*'4'!$V$31+'5'!V23/100*'5'!$V$31</f>
        <v>0</v>
      </c>
      <c r="E40" s="96">
        <f>+'1'!X23/100*'1'!$X$31+'2'!X23/100*'2'!$X$31+'3'!X23/100*'3'!$X$31+'4'!X23/100*'4'!$X$31+'5'!X23/100*'5'!$X$31</f>
        <v>0</v>
      </c>
      <c r="F40" s="97">
        <f t="shared" si="6"/>
        <v>662319.24</v>
      </c>
      <c r="G40" s="96">
        <f>+ind!B40+ind!G40+ind!L40+ind!Q40+ind!V40+ind!AA40</f>
        <v>0</v>
      </c>
      <c r="H40" s="96">
        <f>+ind!C40+ind!H40+ind!M40+ind!R40+ind!W40+ind!AB40</f>
        <v>2092651.5316777627</v>
      </c>
      <c r="I40" s="96">
        <f>+ind!D40+ind!I40+ind!N40+ind!S40+ind!X40+ind!AC40</f>
        <v>0</v>
      </c>
      <c r="J40" s="96">
        <f>+ind!E40+ind!J40+ind!O40+ind!T40+ind!Y40+ind!AD40</f>
        <v>0</v>
      </c>
      <c r="K40" s="97">
        <f t="shared" si="7"/>
        <v>2092651.5316777627</v>
      </c>
      <c r="L40" s="94">
        <f>+hs!B40+hs!G40</f>
        <v>0</v>
      </c>
      <c r="M40" s="96">
        <f>+hs!C40+hs!H40</f>
        <v>2696140.4047107501</v>
      </c>
      <c r="N40" s="96">
        <f>+hs!D40+hs!I40</f>
        <v>0</v>
      </c>
      <c r="O40" s="96">
        <f>+hs!E40+hs!J40</f>
        <v>0</v>
      </c>
      <c r="P40" s="97">
        <f t="shared" si="0"/>
        <v>2696140.4047107501</v>
      </c>
      <c r="Q40" s="103">
        <f t="shared" si="1"/>
        <v>0</v>
      </c>
      <c r="R40" s="104">
        <f t="shared" si="2"/>
        <v>5451111.1763885133</v>
      </c>
      <c r="S40" s="104">
        <f t="shared" si="3"/>
        <v>0</v>
      </c>
      <c r="T40" s="104">
        <f t="shared" si="4"/>
        <v>0</v>
      </c>
      <c r="U40" s="107">
        <f t="shared" si="5"/>
        <v>5451111.1763885133</v>
      </c>
    </row>
    <row r="41" spans="1:21" x14ac:dyDescent="0.25">
      <c r="A41" s="70"/>
      <c r="D41" s="96"/>
      <c r="E41" s="96"/>
      <c r="F41" s="97"/>
      <c r="G41" s="96"/>
      <c r="H41" s="96"/>
      <c r="I41" s="96"/>
      <c r="J41" s="96"/>
      <c r="K41" s="97"/>
      <c r="L41" s="94"/>
      <c r="M41" s="96"/>
      <c r="N41" s="96"/>
      <c r="O41" s="96"/>
      <c r="P41" s="97"/>
      <c r="Q41" s="103"/>
      <c r="R41" s="104"/>
      <c r="S41" s="104"/>
      <c r="T41" s="104"/>
      <c r="U41" s="107"/>
    </row>
    <row r="42" spans="1:21" x14ac:dyDescent="0.25">
      <c r="A42" s="70" t="s">
        <v>44</v>
      </c>
      <c r="B42" s="94">
        <f>+'1'!S24+'2'!S24+'3'!S24+'4'!S24+'5'!S24</f>
        <v>0</v>
      </c>
      <c r="C42" s="96">
        <f>+'1'!U24/100*'1'!$U$31+'2'!U24/100*'2'!$U$31+'3'!U24/100*'3'!$U$31+'4'!U24/100*'4'!$U$31+'5'!U24/100*'5'!$U$31</f>
        <v>286321.66000000003</v>
      </c>
      <c r="D42" s="96">
        <f>+'1'!V24/100*'1'!$V$31+'2'!V24/100*'2'!$V$31+'3'!V24/100*'3'!$V$31+'4'!V24/100*'4'!$V$31+'5'!V24/100*'5'!$V$31</f>
        <v>0</v>
      </c>
      <c r="E42" s="96">
        <f>+'1'!X24/100*'1'!$X$31+'2'!X24/100*'2'!$X$31+'3'!X24/100*'3'!$X$31+'4'!X24/100*'4'!$X$31+'5'!X24/100*'5'!$X$31</f>
        <v>0</v>
      </c>
      <c r="F42" s="97">
        <f t="shared" si="6"/>
        <v>286321.66000000003</v>
      </c>
      <c r="G42" s="96">
        <f>+ind!B42+ind!G42+ind!L42+ind!Q42+ind!V42+ind!AA42</f>
        <v>0</v>
      </c>
      <c r="H42" s="96">
        <f>+ind!C42+ind!H42+ind!M42+ind!R42+ind!W42+ind!AB42</f>
        <v>2561846.7212007456</v>
      </c>
      <c r="I42" s="96">
        <f>+ind!D42+ind!I42+ind!N42+ind!S42+ind!X42+ind!AC42</f>
        <v>0</v>
      </c>
      <c r="J42" s="96">
        <f>+ind!E42+ind!J42+ind!O42+ind!T42+ind!Y42+ind!AD42</f>
        <v>0</v>
      </c>
      <c r="K42" s="97">
        <f t="shared" si="7"/>
        <v>2561846.7212007456</v>
      </c>
      <c r="L42" s="94">
        <f>+hs!B42+hs!G42</f>
        <v>0</v>
      </c>
      <c r="M42" s="96">
        <f>+hs!C42+hs!H42</f>
        <v>104209.33901759709</v>
      </c>
      <c r="N42" s="96">
        <f>+hs!D42+hs!I42</f>
        <v>0</v>
      </c>
      <c r="O42" s="96">
        <f>+hs!E42+hs!J42</f>
        <v>0</v>
      </c>
      <c r="P42" s="97">
        <f t="shared" si="0"/>
        <v>104209.33901759709</v>
      </c>
      <c r="Q42" s="103">
        <f t="shared" si="1"/>
        <v>0</v>
      </c>
      <c r="R42" s="104">
        <f t="shared" si="2"/>
        <v>2952377.7202183427</v>
      </c>
      <c r="S42" s="104">
        <f t="shared" si="3"/>
        <v>0</v>
      </c>
      <c r="T42" s="104">
        <f t="shared" si="4"/>
        <v>0</v>
      </c>
      <c r="U42" s="107">
        <f t="shared" si="5"/>
        <v>2952377.7202183427</v>
      </c>
    </row>
    <row r="43" spans="1:21" x14ac:dyDescent="0.25">
      <c r="A43" s="70"/>
      <c r="D43" s="96"/>
      <c r="E43" s="96"/>
      <c r="F43" s="97"/>
      <c r="G43" s="96"/>
      <c r="H43" s="96"/>
      <c r="I43" s="96"/>
      <c r="J43" s="96"/>
      <c r="K43" s="97"/>
      <c r="L43" s="94"/>
      <c r="M43" s="96"/>
      <c r="N43" s="96"/>
      <c r="O43" s="96"/>
      <c r="P43" s="97"/>
      <c r="Q43" s="103"/>
      <c r="R43" s="104"/>
      <c r="S43" s="104"/>
      <c r="T43" s="104"/>
      <c r="U43" s="107"/>
    </row>
    <row r="44" spans="1:21" x14ac:dyDescent="0.25">
      <c r="A44" s="70" t="s">
        <v>45</v>
      </c>
      <c r="B44" s="94">
        <f>+'1'!S25+'2'!S25+'3'!S25+'4'!S25+'5'!S25</f>
        <v>0</v>
      </c>
      <c r="C44" s="96">
        <f>+'1'!U25/100*'1'!$U$31+'2'!U25/100*'2'!$U$31+'3'!U25/100*'3'!$U$31+'4'!U25/100*'4'!$U$31+'5'!U25/100*'5'!$U$31</f>
        <v>263815.22000000003</v>
      </c>
      <c r="D44" s="96">
        <f>+'1'!V25/100*'1'!$V$31+'2'!V25/100*'2'!$V$31+'3'!V25/100*'3'!$V$31+'4'!V25/100*'4'!$V$31+'5'!V25/100*'5'!$V$31</f>
        <v>0</v>
      </c>
      <c r="E44" s="96">
        <f>+'1'!X25/100*'1'!$X$31+'2'!X25/100*'2'!$X$31+'3'!X25/100*'3'!$X$31+'4'!X25/100*'4'!$X$31+'5'!X25/100*'5'!$X$31</f>
        <v>0</v>
      </c>
      <c r="F44" s="97">
        <f t="shared" si="6"/>
        <v>263815.22000000003</v>
      </c>
      <c r="G44" s="96">
        <f>+ind!B44+ind!G44+ind!L44+ind!Q44+ind!V44+ind!AA44</f>
        <v>0</v>
      </c>
      <c r="H44" s="96">
        <f>+ind!C44+ind!H44+ind!M44+ind!R44+ind!W44+ind!AB44</f>
        <v>2766884.1161990934</v>
      </c>
      <c r="I44" s="96">
        <f>+ind!D44+ind!I44+ind!N44+ind!S44+ind!X44+ind!AC44</f>
        <v>0</v>
      </c>
      <c r="J44" s="96">
        <f>+ind!E44+ind!J44+ind!O44+ind!T44+ind!Y44+ind!AD44</f>
        <v>0</v>
      </c>
      <c r="K44" s="97">
        <f t="shared" si="7"/>
        <v>2766884.1161990934</v>
      </c>
      <c r="L44" s="94">
        <f>+hs!B44+hs!G44</f>
        <v>0</v>
      </c>
      <c r="M44" s="96">
        <f>+hs!C44+hs!H44</f>
        <v>311810.50573730806</v>
      </c>
      <c r="N44" s="96">
        <f>+hs!D44+hs!I44</f>
        <v>0</v>
      </c>
      <c r="O44" s="96">
        <f>+hs!E44+hs!J44</f>
        <v>0</v>
      </c>
      <c r="P44" s="97">
        <f t="shared" si="0"/>
        <v>311810.50573730806</v>
      </c>
      <c r="Q44" s="103">
        <f t="shared" si="1"/>
        <v>0</v>
      </c>
      <c r="R44" s="104">
        <f t="shared" si="2"/>
        <v>3342509.8419364016</v>
      </c>
      <c r="S44" s="104">
        <f t="shared" si="3"/>
        <v>0</v>
      </c>
      <c r="T44" s="104">
        <f t="shared" si="4"/>
        <v>0</v>
      </c>
      <c r="U44" s="107">
        <f t="shared" si="5"/>
        <v>3342509.8419364016</v>
      </c>
    </row>
    <row r="45" spans="1:21" x14ac:dyDescent="0.25">
      <c r="A45" s="70"/>
      <c r="F45" s="97"/>
      <c r="G45" s="96"/>
      <c r="H45" s="96"/>
      <c r="I45" s="96"/>
      <c r="J45" s="96"/>
      <c r="K45" s="97"/>
      <c r="L45" s="94"/>
      <c r="M45" s="96"/>
      <c r="N45" s="96"/>
      <c r="O45" s="96"/>
      <c r="P45" s="97"/>
      <c r="Q45" s="103"/>
      <c r="R45" s="104"/>
      <c r="S45" s="104"/>
      <c r="T45" s="104"/>
      <c r="U45" s="107"/>
    </row>
    <row r="46" spans="1:21" x14ac:dyDescent="0.25">
      <c r="A46" s="70" t="s">
        <v>46</v>
      </c>
      <c r="B46" s="94">
        <f>+'1'!S26+'2'!S26+'3'!S26+'4'!S26+'5'!S26</f>
        <v>0</v>
      </c>
      <c r="C46" s="96">
        <f>+'1'!U26/100*'1'!$U$31+'2'!U26/100*'2'!$U$31+'3'!U26/100*'3'!$U$31+'4'!U26/100*'4'!$U$31+'5'!U26/100*'5'!$U$31</f>
        <v>54528.270000000004</v>
      </c>
      <c r="D46" s="96">
        <f>+'1'!V26/100*'1'!$V$31+'2'!V26/100*'2'!$V$31+'3'!V26/100*'3'!$V$31+'4'!V26/100*'4'!$V$31+'5'!V26/100*'5'!$V$31</f>
        <v>0</v>
      </c>
      <c r="E46" s="96">
        <f>+'1'!X26/100*'1'!$X$31+'2'!X26/100*'2'!$X$31+'3'!X26/100*'3'!$X$31+'4'!X26/100*'4'!$X$31+'5'!X26/100*'5'!$X$31</f>
        <v>0</v>
      </c>
      <c r="F46" s="97">
        <f t="shared" si="6"/>
        <v>54528.270000000004</v>
      </c>
      <c r="G46" s="96">
        <f>+ind!B46+ind!G46+ind!L46+ind!Q46+ind!V46+ind!AA46</f>
        <v>0</v>
      </c>
      <c r="H46" s="96">
        <f>+ind!C46+ind!H46+ind!M46+ind!R46+ind!W46+ind!AB46</f>
        <v>613326.5719064693</v>
      </c>
      <c r="I46" s="96">
        <f>+ind!D46+ind!I46+ind!N46+ind!S46+ind!X46+ind!AC46</f>
        <v>0</v>
      </c>
      <c r="J46" s="96">
        <f>+ind!E46+ind!J46+ind!O46+ind!T46+ind!Y46+ind!AD46</f>
        <v>0</v>
      </c>
      <c r="K46" s="97">
        <f t="shared" si="7"/>
        <v>613326.5719064693</v>
      </c>
      <c r="L46" s="94">
        <f>+hs!B46+hs!G46</f>
        <v>0</v>
      </c>
      <c r="M46" s="96">
        <f>+hs!C46+hs!H46</f>
        <v>31079.24</v>
      </c>
      <c r="N46" s="96">
        <f>+hs!D46+hs!I46</f>
        <v>0</v>
      </c>
      <c r="O46" s="96">
        <f>+hs!E46+hs!J46</f>
        <v>0</v>
      </c>
      <c r="P46" s="97">
        <f t="shared" si="0"/>
        <v>31079.24</v>
      </c>
      <c r="Q46" s="103">
        <f t="shared" si="1"/>
        <v>0</v>
      </c>
      <c r="R46" s="104">
        <f t="shared" si="2"/>
        <v>698934.08190646931</v>
      </c>
      <c r="S46" s="104">
        <f t="shared" si="3"/>
        <v>0</v>
      </c>
      <c r="T46" s="104">
        <f t="shared" si="4"/>
        <v>0</v>
      </c>
      <c r="U46" s="107">
        <f t="shared" si="5"/>
        <v>698934.08190646931</v>
      </c>
    </row>
    <row r="47" spans="1:21" x14ac:dyDescent="0.25">
      <c r="A47" s="70"/>
      <c r="D47" s="96"/>
      <c r="E47" s="96"/>
      <c r="F47" s="97"/>
      <c r="G47" s="96"/>
      <c r="H47" s="96"/>
      <c r="I47" s="96"/>
      <c r="J47" s="96"/>
      <c r="K47" s="97"/>
      <c r="L47" s="94"/>
      <c r="M47" s="96"/>
      <c r="N47" s="96"/>
      <c r="O47" s="96"/>
      <c r="P47" s="97"/>
      <c r="Q47" s="103"/>
      <c r="R47" s="104"/>
      <c r="S47" s="104"/>
      <c r="T47" s="104"/>
      <c r="U47" s="107"/>
    </row>
    <row r="48" spans="1:21" x14ac:dyDescent="0.25">
      <c r="A48" s="70" t="s">
        <v>47</v>
      </c>
      <c r="B48" s="94">
        <f>+'1'!S27+'2'!S27+'3'!S27+'4'!S27+'5'!S27</f>
        <v>0</v>
      </c>
      <c r="C48" s="96">
        <f>+'1'!U27/100*'1'!$U$31+'2'!U27/100*'2'!$U$31+'3'!U27/100*'3'!$U$31+'4'!U27/100*'4'!$U$31+'5'!U27/100*'5'!$U$31</f>
        <v>542526.41</v>
      </c>
      <c r="D48" s="96">
        <f>+'1'!V27/100*'1'!$V$31+'2'!V27/100*'2'!$V$31+'3'!V27/100*'3'!$V$31+'4'!V27/100*'4'!$V$31+'5'!V27/100*'5'!$V$31</f>
        <v>0</v>
      </c>
      <c r="E48" s="96">
        <f>+'1'!X27/100*'1'!$X$31+'2'!X27/100*'2'!$X$31+'3'!X27/100*'3'!$X$31+'4'!X27/100*'4'!$X$31+'5'!X27/100*'5'!$X$31</f>
        <v>0</v>
      </c>
      <c r="F48" s="97">
        <f t="shared" si="6"/>
        <v>542526.41</v>
      </c>
      <c r="G48" s="96">
        <f>+ind!B48+ind!G48+ind!L48+ind!Q48+ind!V48+ind!AA48</f>
        <v>0</v>
      </c>
      <c r="H48" s="96">
        <f>+ind!C48+ind!H48+ind!M48+ind!R48+ind!W48+ind!AB48</f>
        <v>7363754.1553169601</v>
      </c>
      <c r="I48" s="96">
        <f>+ind!D48+ind!I48+ind!N48+ind!S48+ind!X48+ind!AC48</f>
        <v>0</v>
      </c>
      <c r="J48" s="96">
        <f>+ind!E48+ind!J48+ind!O48+ind!T48+ind!Y48+ind!AD48</f>
        <v>0</v>
      </c>
      <c r="K48" s="97">
        <f t="shared" si="7"/>
        <v>7363754.1553169601</v>
      </c>
      <c r="L48" s="94">
        <f>+hs!B48+hs!G48</f>
        <v>0</v>
      </c>
      <c r="M48" s="96">
        <f>+hs!C48+hs!H48</f>
        <v>816732.89906984637</v>
      </c>
      <c r="N48" s="96">
        <f>+hs!D48+hs!I48</f>
        <v>0</v>
      </c>
      <c r="O48" s="96">
        <f>+hs!E48+hs!J48</f>
        <v>0</v>
      </c>
      <c r="P48" s="97">
        <f t="shared" si="0"/>
        <v>816732.89906984637</v>
      </c>
      <c r="Q48" s="103">
        <f t="shared" si="1"/>
        <v>0</v>
      </c>
      <c r="R48" s="104">
        <f t="shared" si="2"/>
        <v>8723013.4643868059</v>
      </c>
      <c r="S48" s="104">
        <f t="shared" si="3"/>
        <v>0</v>
      </c>
      <c r="T48" s="104">
        <f t="shared" si="4"/>
        <v>0</v>
      </c>
      <c r="U48" s="107">
        <f t="shared" si="5"/>
        <v>8723013.4643868059</v>
      </c>
    </row>
    <row r="49" spans="1:36" x14ac:dyDescent="0.25">
      <c r="A49" s="70"/>
      <c r="D49" s="96"/>
      <c r="E49" s="96"/>
      <c r="F49" s="97"/>
      <c r="G49" s="96"/>
      <c r="H49" s="96"/>
      <c r="I49" s="96"/>
      <c r="J49" s="96"/>
      <c r="K49" s="97"/>
      <c r="L49" s="94"/>
      <c r="M49" s="96"/>
      <c r="N49" s="96"/>
      <c r="O49" s="96"/>
      <c r="P49" s="97"/>
      <c r="Q49" s="103"/>
      <c r="R49" s="104"/>
      <c r="S49" s="104"/>
      <c r="T49" s="104"/>
      <c r="U49" s="107"/>
    </row>
    <row r="50" spans="1:36" x14ac:dyDescent="0.25">
      <c r="A50" s="70" t="s">
        <v>48</v>
      </c>
      <c r="B50" s="94">
        <f>+'1'!S28+'2'!S28+'3'!S28+'4'!S28+'5'!S28</f>
        <v>0</v>
      </c>
      <c r="C50" s="96">
        <f>+'1'!U28/100*'1'!$U$31+'2'!U28/100*'2'!$U$31+'3'!U28/100*'3'!$U$31+'4'!U28/100*'4'!$U$31+'5'!U28/100*'5'!$U$31</f>
        <v>126132.96</v>
      </c>
      <c r="D50" s="96">
        <f>+'1'!V28/100*'1'!$V$31+'2'!V28/100*'2'!$V$31+'3'!V28/100*'3'!$V$31+'4'!V28/100*'4'!$V$31+'5'!V28/100*'5'!$V$31</f>
        <v>0</v>
      </c>
      <c r="E50" s="96">
        <f>+'1'!X28/100*'1'!$X$31+'2'!X28/100*'2'!$X$31+'3'!X28/100*'3'!$X$31+'4'!X28/100*'4'!$X$31+'5'!X28/100*'5'!$X$31</f>
        <v>0</v>
      </c>
      <c r="F50" s="97">
        <f t="shared" si="6"/>
        <v>126132.96</v>
      </c>
      <c r="G50" s="96">
        <f>+ind!B50+ind!G50+ind!L50+ind!Q50+ind!V50+ind!AA50</f>
        <v>0</v>
      </c>
      <c r="H50" s="96">
        <f>+ind!C50+ind!H50+ind!M50+ind!R50+ind!W50+ind!AB50</f>
        <v>571591.35708771541</v>
      </c>
      <c r="I50" s="96">
        <f>+ind!D50+ind!I50+ind!N50+ind!S50+ind!X50+ind!AC50</f>
        <v>0</v>
      </c>
      <c r="J50" s="96">
        <f>+ind!E50+ind!J50+ind!O50+ind!T50+ind!Y50+ind!AD50</f>
        <v>0</v>
      </c>
      <c r="K50" s="97">
        <f t="shared" si="7"/>
        <v>571591.35708771541</v>
      </c>
      <c r="L50" s="94">
        <f>+hs!B50+hs!G50</f>
        <v>0</v>
      </c>
      <c r="M50" s="96">
        <f>+hs!C50+hs!H50</f>
        <v>3809417.6816357183</v>
      </c>
      <c r="N50" s="96">
        <f>+hs!D50+hs!I50</f>
        <v>0</v>
      </c>
      <c r="O50" s="96">
        <f>+hs!E50+hs!J50</f>
        <v>0</v>
      </c>
      <c r="P50" s="97">
        <f t="shared" si="0"/>
        <v>3809417.6816357183</v>
      </c>
      <c r="Q50" s="103">
        <f t="shared" si="1"/>
        <v>0</v>
      </c>
      <c r="R50" s="104">
        <f t="shared" si="2"/>
        <v>4507141.9987234334</v>
      </c>
      <c r="S50" s="104">
        <f t="shared" si="3"/>
        <v>0</v>
      </c>
      <c r="T50" s="104">
        <f t="shared" si="4"/>
        <v>0</v>
      </c>
      <c r="U50" s="107">
        <f t="shared" si="5"/>
        <v>4507141.9987234334</v>
      </c>
    </row>
    <row r="51" spans="1:36" x14ac:dyDescent="0.25">
      <c r="A51" s="70"/>
      <c r="F51" s="97"/>
      <c r="G51" s="96"/>
      <c r="H51" s="96"/>
      <c r="I51" s="96"/>
      <c r="J51" s="96"/>
      <c r="K51" s="97"/>
      <c r="L51" s="94"/>
      <c r="M51" s="96"/>
      <c r="N51" s="96"/>
      <c r="O51" s="96"/>
      <c r="P51" s="97"/>
      <c r="Q51" s="103"/>
      <c r="R51" s="104"/>
      <c r="S51" s="104"/>
      <c r="T51" s="104"/>
      <c r="U51" s="107"/>
    </row>
    <row r="52" spans="1:36" x14ac:dyDescent="0.25">
      <c r="A52" s="52" t="s">
        <v>49</v>
      </c>
      <c r="B52" s="94">
        <f>+'1'!S29+'2'!S29+'3'!S29+'4'!S29+'5'!S29</f>
        <v>0</v>
      </c>
      <c r="C52" s="96">
        <f>+'1'!U29/100*'1'!$U$31+'2'!U29/100*'2'!$U$31+'3'!U29/100*'3'!$U$31+'4'!U29/100*'4'!$U$31+'5'!U29/100*'5'!$U$31</f>
        <v>29742.140000000003</v>
      </c>
      <c r="D52" s="96">
        <f>+'1'!V29/100*'1'!$V$31+'2'!V29/100*'2'!$V$31+'3'!V29/100*'3'!$V$31+'4'!V29/100*'4'!$V$31+'5'!V29/100*'5'!$V$31</f>
        <v>0</v>
      </c>
      <c r="E52" s="96">
        <f>+'1'!X29/100*'1'!$X$31+'2'!X29/100*'2'!$X$31+'3'!X29/100*'3'!$X$31+'4'!X29/100*'4'!$X$31+'5'!X29/100*'5'!$X$31</f>
        <v>0</v>
      </c>
      <c r="F52" s="97">
        <f t="shared" si="6"/>
        <v>29742.140000000003</v>
      </c>
      <c r="G52" s="87">
        <f>+ind!B52+ind!G52+ind!L52+ind!Q52+ind!V52+ind!AA52</f>
        <v>0</v>
      </c>
      <c r="H52" s="96">
        <f>+ind!C52+ind!H52+ind!M52+ind!R52+ind!W52+ind!AB52</f>
        <v>731211.29421516671</v>
      </c>
      <c r="I52" s="87">
        <f>+ind!D52+ind!I52+ind!N52+ind!S52+ind!X52+ind!AC52</f>
        <v>0</v>
      </c>
      <c r="J52" s="96">
        <f>+ind!E52+ind!J52+ind!O52+ind!T52+ind!Y52+ind!AD52</f>
        <v>0</v>
      </c>
      <c r="K52" s="97">
        <f>SUM(G52:J52)</f>
        <v>731211.29421516671</v>
      </c>
      <c r="L52" s="94">
        <f>+hs!B52+hs!G52</f>
        <v>0</v>
      </c>
      <c r="M52" s="96">
        <f>+hs!C52+hs!H52</f>
        <v>224247.83298000001</v>
      </c>
      <c r="N52" s="96">
        <f>+hs!D52+hs!I52</f>
        <v>0</v>
      </c>
      <c r="O52" s="96">
        <f>+hs!E52+hs!J52</f>
        <v>0</v>
      </c>
      <c r="P52" s="97">
        <f t="shared" si="0"/>
        <v>224247.83298000001</v>
      </c>
      <c r="Q52" s="103">
        <f t="shared" si="1"/>
        <v>0</v>
      </c>
      <c r="R52" s="104">
        <f t="shared" si="2"/>
        <v>985201.26719516679</v>
      </c>
      <c r="S52" s="104">
        <f t="shared" si="3"/>
        <v>0</v>
      </c>
      <c r="T52" s="104">
        <f t="shared" si="4"/>
        <v>0</v>
      </c>
      <c r="U52" s="107">
        <f t="shared" si="5"/>
        <v>985201.26719516679</v>
      </c>
    </row>
    <row r="53" spans="1:36" x14ac:dyDescent="0.25">
      <c r="A53" s="69"/>
      <c r="B53" s="98"/>
      <c r="C53" s="98"/>
      <c r="D53" s="98"/>
      <c r="E53" s="98"/>
      <c r="F53" s="98">
        <f>SUM(F6:F52)</f>
        <v>36843599.999999993</v>
      </c>
      <c r="G53" s="93"/>
      <c r="H53" s="98"/>
      <c r="I53" s="98"/>
      <c r="J53" s="98"/>
      <c r="K53" s="126">
        <f>SUM(K6:K52)</f>
        <v>94168131.011578739</v>
      </c>
      <c r="L53" s="98"/>
      <c r="M53" s="98"/>
      <c r="N53" s="98"/>
      <c r="O53" s="98"/>
      <c r="P53" s="98"/>
      <c r="Q53" s="68"/>
      <c r="R53" s="57"/>
      <c r="S53" s="57"/>
      <c r="T53" s="57"/>
      <c r="U53" s="58"/>
    </row>
    <row r="54" spans="1:36" x14ac:dyDescent="0.25">
      <c r="A54" s="70" t="s">
        <v>70</v>
      </c>
      <c r="B54" s="96">
        <f>SUM(B6:B52)</f>
        <v>28223381.999999996</v>
      </c>
      <c r="C54" s="96">
        <f>SUM(C6:C52)</f>
        <v>6650917.9999999991</v>
      </c>
      <c r="D54" s="96">
        <f>SUM(D6:D52)</f>
        <v>1585000</v>
      </c>
      <c r="E54" s="96">
        <f>SUM(E6:E52)</f>
        <v>384300</v>
      </c>
      <c r="F54" s="87">
        <f>SUM(B54:E54)</f>
        <v>36843599.999999993</v>
      </c>
      <c r="G54" s="94">
        <f>SUM(G6:G52)</f>
        <v>60960402.973668858</v>
      </c>
      <c r="H54" s="96">
        <f>SUM(H6:H52)</f>
        <v>27336718.037909895</v>
      </c>
      <c r="I54" s="96">
        <f t="shared" ref="I54" si="8">SUM(I6:I52)</f>
        <v>4627183</v>
      </c>
      <c r="J54" s="96">
        <f>SUM(J6:J52)</f>
        <v>1243827</v>
      </c>
      <c r="K54" s="110">
        <f>SUM(G54:J54)</f>
        <v>94168131.011578754</v>
      </c>
      <c r="L54" s="96">
        <f>SUM(L6:L52)</f>
        <v>25977493</v>
      </c>
      <c r="M54" s="96">
        <f t="shared" ref="M54:N54" si="9">SUM(M6:M52)</f>
        <v>23853545.999999996</v>
      </c>
      <c r="N54" s="96">
        <f t="shared" si="9"/>
        <v>18022531.000000004</v>
      </c>
      <c r="O54" s="96">
        <f>SUM(O6:O52)</f>
        <v>0</v>
      </c>
      <c r="P54" s="87">
        <f>SUM(L54:O54)</f>
        <v>67853570</v>
      </c>
      <c r="Q54" s="94">
        <f>SUM(Q6:Q52)</f>
        <v>115161277.97366884</v>
      </c>
      <c r="R54" s="96">
        <f t="shared" ref="R54:S54" si="10">SUM(R6:R52)</f>
        <v>57841182.037909903</v>
      </c>
      <c r="S54" s="96">
        <f t="shared" si="10"/>
        <v>24234714.000000004</v>
      </c>
      <c r="T54" s="96">
        <f>SUM(T6:T52)</f>
        <v>1628127</v>
      </c>
      <c r="U54" s="110">
        <f>SUM(Q54:T54)</f>
        <v>198865301.01157874</v>
      </c>
    </row>
    <row r="55" spans="1:36" x14ac:dyDescent="0.25">
      <c r="A55" s="52"/>
      <c r="B55" s="12"/>
      <c r="C55" s="12"/>
      <c r="D55" s="12"/>
      <c r="E55" s="12"/>
      <c r="F55" s="12"/>
      <c r="G55" s="11"/>
      <c r="H55" s="12"/>
      <c r="I55" s="12"/>
      <c r="J55" s="12"/>
      <c r="K55" s="53"/>
      <c r="L55" s="12"/>
      <c r="M55" s="12"/>
      <c r="N55" s="12"/>
      <c r="O55" s="12"/>
      <c r="P55" s="12"/>
      <c r="Q55" s="11"/>
      <c r="R55" s="12"/>
      <c r="S55" s="12"/>
      <c r="T55" s="12"/>
      <c r="U55" s="53"/>
    </row>
    <row r="56" spans="1:36" x14ac:dyDescent="0.25">
      <c r="B56" s="99"/>
    </row>
    <row r="57" spans="1:36" x14ac:dyDescent="0.25">
      <c r="A57" t="s">
        <v>126</v>
      </c>
      <c r="B57" s="79">
        <f>+'sum per energiart'!S28</f>
        <v>28223382</v>
      </c>
      <c r="C57" s="79">
        <f>+'sum per energiart'!T28</f>
        <v>6650918</v>
      </c>
      <c r="D57" s="79">
        <f>+'sum per energiart'!U28</f>
        <v>1585000</v>
      </c>
      <c r="E57" s="79">
        <f>+'sum per energiart'!W28</f>
        <v>384300</v>
      </c>
      <c r="F57" s="79">
        <f>SUM(B57:E57)</f>
        <v>36843600</v>
      </c>
      <c r="G57" s="79">
        <f>+'sum per energiart'!S29</f>
        <v>60960412</v>
      </c>
      <c r="H57" s="79">
        <f>+'sum per energiart'!T29</f>
        <v>27336718</v>
      </c>
      <c r="I57" s="79">
        <f>+'sum per energiart'!U29</f>
        <v>4627183</v>
      </c>
      <c r="J57" s="79">
        <f>+'sum per energiart'!W29</f>
        <v>1243827</v>
      </c>
      <c r="K57" s="79">
        <f>SUM(G57:J57)</f>
        <v>94168140</v>
      </c>
      <c r="L57" s="79">
        <f>+'sum per energiart'!S30</f>
        <v>25977493</v>
      </c>
      <c r="M57" s="79">
        <f>+'sum per energiart'!T30</f>
        <v>23853546</v>
      </c>
      <c r="N57" s="79">
        <f>+'sum per energiart'!U30</f>
        <v>18022531</v>
      </c>
      <c r="O57" s="79">
        <f>+'sum per energiart'!W30</f>
        <v>0</v>
      </c>
      <c r="P57" s="79">
        <f>SUM(L57:O57)</f>
        <v>67853570</v>
      </c>
    </row>
    <row r="58" spans="1:36" x14ac:dyDescent="0.25">
      <c r="B58" s="79">
        <f>+B57-B54</f>
        <v>0</v>
      </c>
      <c r="C58" s="79">
        <f t="shared" ref="C58:E58" si="11">+C57-C54</f>
        <v>0</v>
      </c>
      <c r="D58" s="79">
        <f t="shared" si="11"/>
        <v>0</v>
      </c>
      <c r="E58" s="79">
        <f t="shared" si="11"/>
        <v>0</v>
      </c>
      <c r="F58" s="79">
        <f>+F57-F54</f>
        <v>0</v>
      </c>
      <c r="G58" s="79">
        <f>+G57-G54</f>
        <v>9.0263311415910721</v>
      </c>
      <c r="H58" s="79">
        <f>+H57-H54</f>
        <v>-3.7909895181655884E-2</v>
      </c>
      <c r="I58" s="79">
        <f>+I57-I54</f>
        <v>0</v>
      </c>
      <c r="J58" s="79">
        <f t="shared" ref="J58:K58" si="12">+J57-J54</f>
        <v>0</v>
      </c>
      <c r="K58" s="79">
        <f t="shared" si="12"/>
        <v>8.9884212464094162</v>
      </c>
      <c r="L58" s="79">
        <f>+L57-L54</f>
        <v>0</v>
      </c>
      <c r="M58" s="79">
        <f t="shared" ref="M58:P58" si="13">+M57-M54</f>
        <v>0</v>
      </c>
      <c r="N58" s="79">
        <f t="shared" si="13"/>
        <v>0</v>
      </c>
      <c r="O58" s="79">
        <f t="shared" si="13"/>
        <v>0</v>
      </c>
      <c r="P58" s="79">
        <f t="shared" si="13"/>
        <v>0</v>
      </c>
    </row>
    <row r="59" spans="1:36" x14ac:dyDescent="0.25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1:36" x14ac:dyDescent="0.25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2" spans="1:36" x14ac:dyDescent="0.25">
      <c r="A62" s="105" t="s">
        <v>87</v>
      </c>
    </row>
    <row r="63" spans="1:36" x14ac:dyDescent="0.25">
      <c r="L63" t="s">
        <v>81</v>
      </c>
    </row>
    <row r="64" spans="1:36" x14ac:dyDescent="0.25">
      <c r="A64" s="68"/>
      <c r="B64" s="68" t="s">
        <v>62</v>
      </c>
      <c r="C64" s="58"/>
      <c r="D64" s="311" t="s">
        <v>63</v>
      </c>
      <c r="E64" s="57"/>
      <c r="F64" s="68" t="s">
        <v>67</v>
      </c>
      <c r="G64" s="58"/>
      <c r="H64" s="57" t="s">
        <v>68</v>
      </c>
      <c r="I64" s="58"/>
      <c r="N64" t="s">
        <v>24</v>
      </c>
      <c r="O64" t="s">
        <v>73</v>
      </c>
      <c r="P64" t="s">
        <v>82</v>
      </c>
      <c r="AJ64" t="s">
        <v>68</v>
      </c>
    </row>
    <row r="65" spans="1:37" x14ac:dyDescent="0.25">
      <c r="A65" s="11" t="s">
        <v>72</v>
      </c>
      <c r="B65" s="66" t="s">
        <v>73</v>
      </c>
      <c r="C65" s="67" t="s">
        <v>25</v>
      </c>
      <c r="D65" s="73" t="s">
        <v>73</v>
      </c>
      <c r="E65" s="10" t="s">
        <v>25</v>
      </c>
      <c r="F65" s="66" t="s">
        <v>73</v>
      </c>
      <c r="G65" s="67" t="s">
        <v>25</v>
      </c>
      <c r="H65" s="10" t="s">
        <v>73</v>
      </c>
      <c r="I65" s="67" t="s">
        <v>25</v>
      </c>
      <c r="L65" t="s">
        <v>62</v>
      </c>
      <c r="N65">
        <v>36843600</v>
      </c>
      <c r="O65" s="79">
        <f>+N65/1000</f>
        <v>36843.599999999999</v>
      </c>
      <c r="P65" s="81">
        <f>+O65-(B78+B107)</f>
        <v>0</v>
      </c>
      <c r="AJ65" t="s">
        <v>73</v>
      </c>
      <c r="AK65" t="s">
        <v>25</v>
      </c>
    </row>
    <row r="66" spans="1:37" x14ac:dyDescent="0.25">
      <c r="A66" s="68" t="s">
        <v>26</v>
      </c>
      <c r="B66" s="93">
        <f>(B6+D6+E6)/1000</f>
        <v>2467.2352343750003</v>
      </c>
      <c r="C66" s="322">
        <f>+B66/$B$78*100</f>
        <v>8.171633226803106</v>
      </c>
      <c r="D66" s="312">
        <f>(G6+I6+J6)/1000</f>
        <v>5363.3756365039553</v>
      </c>
      <c r="E66" s="322">
        <f>+D66/$D$78*100</f>
        <v>8.0252315458556769</v>
      </c>
      <c r="F66" s="93">
        <f>(L6+N6+O6)/1000</f>
        <v>645.12154399999997</v>
      </c>
      <c r="G66" s="323">
        <f>+F66/$F$78*100</f>
        <v>1.4661845275357122</v>
      </c>
      <c r="H66" s="98">
        <f>+B66+D66+F66</f>
        <v>8475.7324148789558</v>
      </c>
      <c r="I66" s="323">
        <f>+H66/$H$78*100</f>
        <v>6.0101296689976085</v>
      </c>
      <c r="J66" s="81"/>
      <c r="L66" t="s">
        <v>63</v>
      </c>
      <c r="N66">
        <v>94168140</v>
      </c>
      <c r="O66" s="79">
        <f>+N66/1000</f>
        <v>94168.14</v>
      </c>
      <c r="P66" s="81">
        <f>+O66-(D78+D107)</f>
        <v>8.9884212502511218E-3</v>
      </c>
      <c r="AI66">
        <v>4.8102533089359696</v>
      </c>
      <c r="AJ66">
        <v>11401171.762927501</v>
      </c>
      <c r="AK66">
        <v>7.4275964153052669</v>
      </c>
    </row>
    <row r="67" spans="1:37" x14ac:dyDescent="0.25">
      <c r="A67" s="66" t="s">
        <v>27</v>
      </c>
      <c r="B67" s="94">
        <f>(B8+D8+E8)/1000</f>
        <v>17.821950000000001</v>
      </c>
      <c r="C67" s="318">
        <f t="shared" ref="C67:C77" si="14">+B67/$B$78*100</f>
        <v>5.9027382860522302E-2</v>
      </c>
      <c r="D67" s="308">
        <f>(G8+I8+J8)/1000</f>
        <v>14402.258008827148</v>
      </c>
      <c r="E67" s="318">
        <f t="shared" ref="E67:E77" si="15">+D67/$D$78*100</f>
        <v>21.550132442211787</v>
      </c>
      <c r="F67" s="94">
        <f>(L8+N8+O8)/1000</f>
        <v>379.45471580000009</v>
      </c>
      <c r="G67" s="320">
        <f t="shared" ref="G67:G77" si="16">+F67/$F$78*100</f>
        <v>0.86239661096548492</v>
      </c>
      <c r="H67" s="96">
        <f t="shared" ref="H67:H77" si="17">+B67+D67+F67</f>
        <v>14799.534674627148</v>
      </c>
      <c r="I67" s="320">
        <f t="shared" ref="I67:I77" si="18">+H67/$H$78*100</f>
        <v>10.494328759033358</v>
      </c>
      <c r="J67" s="81"/>
      <c r="L67" t="s">
        <v>67</v>
      </c>
      <c r="N67">
        <v>67853570</v>
      </c>
      <c r="O67" s="79">
        <f t="shared" ref="O67" si="19">+N67/1000</f>
        <v>67853.570000000007</v>
      </c>
      <c r="P67" s="81">
        <f>+O67-(F78+F107)</f>
        <v>0</v>
      </c>
      <c r="AI67">
        <v>3.7776619443397443</v>
      </c>
      <c r="AJ67">
        <v>25614080.008591</v>
      </c>
      <c r="AK67">
        <v>16.686973304952797</v>
      </c>
    </row>
    <row r="68" spans="1:37" x14ac:dyDescent="0.25">
      <c r="A68" s="66" t="s">
        <v>28</v>
      </c>
      <c r="B68" s="94">
        <f>(B10+D10+E10)/1000</f>
        <v>267.54299287499998</v>
      </c>
      <c r="C68" s="318">
        <f t="shared" si="14"/>
        <v>0.88611867231602681</v>
      </c>
      <c r="D68" s="308">
        <f>(G10+I10+J10)/1000</f>
        <v>12801.524457349893</v>
      </c>
      <c r="E68" s="318">
        <f t="shared" si="15"/>
        <v>19.154951074270439</v>
      </c>
      <c r="F68" s="94">
        <f>(L10+N10+O10)/1000</f>
        <v>90.752006800000004</v>
      </c>
      <c r="G68" s="320">
        <f t="shared" si="16"/>
        <v>0.20625444840666449</v>
      </c>
      <c r="H68" s="96">
        <f t="shared" si="17"/>
        <v>13159.819457024892</v>
      </c>
      <c r="I68" s="320">
        <f t="shared" si="18"/>
        <v>9.331609055811235</v>
      </c>
      <c r="J68" s="81"/>
      <c r="N68">
        <f>SUM(N65:N67)</f>
        <v>198865310</v>
      </c>
      <c r="O68" s="79">
        <f>+N68/1000</f>
        <v>198865.31</v>
      </c>
      <c r="P68" s="81">
        <f>+O68-(H78+H107)</f>
        <v>8.988421264803037E-3</v>
      </c>
      <c r="AI68">
        <v>3.0644640734855439</v>
      </c>
      <c r="AJ68">
        <v>16619865.767729497</v>
      </c>
      <c r="AK68">
        <v>10.827453350070831</v>
      </c>
    </row>
    <row r="69" spans="1:37" x14ac:dyDescent="0.25">
      <c r="A69" s="66" t="s">
        <v>29</v>
      </c>
      <c r="B69" s="94">
        <f>(B12+D12+E12)/1000</f>
        <v>0</v>
      </c>
      <c r="C69" s="318">
        <f t="shared" si="14"/>
        <v>0</v>
      </c>
      <c r="D69" s="308">
        <f>(G12+I12+J12)/1000</f>
        <v>4510.8054479734419</v>
      </c>
      <c r="E69" s="318">
        <f t="shared" si="15"/>
        <v>6.7495287728701339</v>
      </c>
      <c r="F69" s="94">
        <f>(L12+N12+O12)/1000</f>
        <v>0</v>
      </c>
      <c r="G69" s="320">
        <f t="shared" si="16"/>
        <v>0</v>
      </c>
      <c r="H69" s="96">
        <f t="shared" si="17"/>
        <v>4510.8054479734419</v>
      </c>
      <c r="I69" s="320">
        <f>+H69/$H$78*100</f>
        <v>3.1986056575298809</v>
      </c>
      <c r="J69" s="81"/>
      <c r="AI69">
        <v>0</v>
      </c>
      <c r="AJ69">
        <v>6535959.6073659956</v>
      </c>
      <c r="AK69">
        <v>4.2580246276183038</v>
      </c>
    </row>
    <row r="70" spans="1:37" x14ac:dyDescent="0.25">
      <c r="A70" s="66" t="s">
        <v>30</v>
      </c>
      <c r="B70" s="94">
        <f>(B14+D14+E14)/1000</f>
        <v>0</v>
      </c>
      <c r="C70" s="318">
        <f t="shared" si="14"/>
        <v>0</v>
      </c>
      <c r="D70" s="308">
        <f>(G14+I14+J14)/1000</f>
        <v>2295.4596538211217</v>
      </c>
      <c r="E70" s="318">
        <f t="shared" si="15"/>
        <v>3.4347016645084523</v>
      </c>
      <c r="F70" s="94">
        <f>(L14+N14+O14)/1000</f>
        <v>0</v>
      </c>
      <c r="G70" s="320">
        <f t="shared" si="16"/>
        <v>0</v>
      </c>
      <c r="H70" s="96">
        <f t="shared" si="17"/>
        <v>2295.4596538211217</v>
      </c>
      <c r="I70" s="320">
        <f t="shared" si="18"/>
        <v>1.6277071401167311</v>
      </c>
      <c r="J70" s="81"/>
      <c r="AI70">
        <v>0</v>
      </c>
      <c r="AJ70">
        <v>3755141.91</v>
      </c>
      <c r="AK70">
        <v>2.4463870179004106</v>
      </c>
    </row>
    <row r="71" spans="1:37" x14ac:dyDescent="0.25">
      <c r="A71" s="66" t="s">
        <v>31</v>
      </c>
      <c r="B71" s="94">
        <f>(B16+D16+E16)/1000</f>
        <v>0</v>
      </c>
      <c r="C71" s="318">
        <f t="shared" si="14"/>
        <v>0</v>
      </c>
      <c r="D71" s="308">
        <f>(G16+I16+J16)/1000</f>
        <v>3886.3477691444623</v>
      </c>
      <c r="E71" s="318">
        <f t="shared" si="15"/>
        <v>5.815151283238106</v>
      </c>
      <c r="F71" s="94">
        <f>(L16+N16+O16)/1000</f>
        <v>0</v>
      </c>
      <c r="G71" s="320">
        <f t="shared" si="16"/>
        <v>0</v>
      </c>
      <c r="H71" s="96">
        <f t="shared" si="17"/>
        <v>3886.3477691444623</v>
      </c>
      <c r="I71" s="320">
        <f t="shared" si="18"/>
        <v>2.7558036153163967</v>
      </c>
      <c r="J71" s="81"/>
      <c r="AI71">
        <v>9.0181481894881108E-2</v>
      </c>
      <c r="AJ71">
        <v>12127635.042256001</v>
      </c>
      <c r="AK71">
        <v>7.9008702297509652</v>
      </c>
    </row>
    <row r="72" spans="1:37" x14ac:dyDescent="0.25">
      <c r="A72" s="66" t="s">
        <v>32</v>
      </c>
      <c r="B72" s="94">
        <f>(B18+D18+E18)/1000</f>
        <v>0</v>
      </c>
      <c r="C72" s="318">
        <f t="shared" si="14"/>
        <v>0</v>
      </c>
      <c r="D72" s="308">
        <f>(G18+I18+J18)/1000</f>
        <v>3420.9879567189414</v>
      </c>
      <c r="E72" s="318">
        <f t="shared" si="15"/>
        <v>5.1188323043039485</v>
      </c>
      <c r="F72" s="94">
        <f>(L18+N18+O18)/1000</f>
        <v>0</v>
      </c>
      <c r="G72" s="320">
        <f t="shared" si="16"/>
        <v>0</v>
      </c>
      <c r="H72" s="96">
        <f t="shared" si="17"/>
        <v>3420.9879567189414</v>
      </c>
      <c r="I72" s="320">
        <f t="shared" si="18"/>
        <v>2.4258176414189743</v>
      </c>
      <c r="J72" s="81"/>
      <c r="AI72">
        <v>0</v>
      </c>
      <c r="AJ72">
        <v>2827023.2100000004</v>
      </c>
      <c r="AK72">
        <v>1.8417394191760779</v>
      </c>
    </row>
    <row r="73" spans="1:37" x14ac:dyDescent="0.25">
      <c r="A73" s="66" t="s">
        <v>74</v>
      </c>
      <c r="B73" s="94">
        <f>(B20+D20+E20)/1000</f>
        <v>9600.4974052500002</v>
      </c>
      <c r="C73" s="318">
        <f t="shared" si="14"/>
        <v>31.797431593688831</v>
      </c>
      <c r="D73" s="308">
        <f>(G20+I20+J20)/1000</f>
        <v>1388.5383241950881</v>
      </c>
      <c r="E73" s="318">
        <f t="shared" si="15"/>
        <v>2.0776731516093538</v>
      </c>
      <c r="F73" s="94">
        <f>(L20+N20+O20)/1000</f>
        <v>94.733800000000002</v>
      </c>
      <c r="G73" s="320">
        <f t="shared" si="16"/>
        <v>0.21530397347055991</v>
      </c>
      <c r="H73" s="96">
        <f t="shared" si="17"/>
        <v>11083.769529445088</v>
      </c>
      <c r="I73" s="320">
        <f t="shared" si="18"/>
        <v>7.8594850371053058</v>
      </c>
      <c r="J73" s="81"/>
      <c r="AI73">
        <v>0</v>
      </c>
      <c r="AJ73">
        <v>7992771.3700000001</v>
      </c>
      <c r="AK73">
        <v>5.2071033759185088</v>
      </c>
    </row>
    <row r="74" spans="1:37" x14ac:dyDescent="0.25">
      <c r="A74" s="66" t="s">
        <v>75</v>
      </c>
      <c r="B74" s="94">
        <f>(B22+D22+E22)/1000</f>
        <v>192.79014474999994</v>
      </c>
      <c r="C74" s="318">
        <f t="shared" si="14"/>
        <v>0.63853269063675744</v>
      </c>
      <c r="D74" s="308">
        <f>(G22+I22+J22)/1000</f>
        <v>3214.8833072507573</v>
      </c>
      <c r="E74" s="318">
        <f t="shared" si="15"/>
        <v>4.8104374338417788</v>
      </c>
      <c r="F74" s="94">
        <f>(L22+N22+O22)/1000</f>
        <v>0</v>
      </c>
      <c r="G74" s="320">
        <f t="shared" si="16"/>
        <v>0</v>
      </c>
      <c r="H74" s="96">
        <f t="shared" si="17"/>
        <v>3407.6734520007572</v>
      </c>
      <c r="I74" s="320">
        <f t="shared" si="18"/>
        <v>2.4163763452668809</v>
      </c>
      <c r="J74" s="81"/>
      <c r="AI74">
        <v>0</v>
      </c>
      <c r="AJ74">
        <v>1187430.1399999999</v>
      </c>
      <c r="AK74">
        <v>0.77358292942906826</v>
      </c>
    </row>
    <row r="75" spans="1:37" x14ac:dyDescent="0.25">
      <c r="A75" s="66" t="s">
        <v>76</v>
      </c>
      <c r="B75" s="94">
        <f>(B24+D24+E24)/1000</f>
        <v>16984.990292749997</v>
      </c>
      <c r="C75" s="318">
        <f t="shared" si="14"/>
        <v>56.255321381353262</v>
      </c>
      <c r="D75" s="308">
        <f>(G24+I24+J24)/1000</f>
        <v>982.46390609283526</v>
      </c>
      <c r="E75" s="318">
        <f t="shared" si="15"/>
        <v>1.4700630472677869</v>
      </c>
      <c r="F75" s="94">
        <f>(L24+N24+O24)/1000</f>
        <v>144.08689000000001</v>
      </c>
      <c r="G75" s="320">
        <f t="shared" si="16"/>
        <v>0.32747002592544039</v>
      </c>
      <c r="H75" s="96">
        <f t="shared" si="17"/>
        <v>18111.541088842831</v>
      </c>
      <c r="I75" s="320">
        <f t="shared" si="18"/>
        <v>12.84286774535674</v>
      </c>
      <c r="J75" s="81"/>
      <c r="AI75">
        <v>1.7144640007510912</v>
      </c>
      <c r="AJ75">
        <v>26836481.140000001</v>
      </c>
      <c r="AK75">
        <v>17.483339016347642</v>
      </c>
    </row>
    <row r="76" spans="1:37" x14ac:dyDescent="0.25">
      <c r="A76" s="66" t="s">
        <v>36</v>
      </c>
      <c r="B76" s="94">
        <f>(B26+D26+E26)/1000</f>
        <v>498.13099999999997</v>
      </c>
      <c r="C76" s="318">
        <f t="shared" si="14"/>
        <v>1.6498401831278189</v>
      </c>
      <c r="D76" s="308">
        <f>(G26+I26+J26)/1000</f>
        <v>4382.2278466270818</v>
      </c>
      <c r="E76" s="318">
        <f t="shared" si="15"/>
        <v>6.5571378063690675</v>
      </c>
      <c r="F76" s="94">
        <f>(L26+N26+O26)/1000</f>
        <v>19540.514460000002</v>
      </c>
      <c r="G76" s="320">
        <f t="shared" si="16"/>
        <v>44.410235912598594</v>
      </c>
      <c r="H76" s="96">
        <f t="shared" si="17"/>
        <v>24420.873306627083</v>
      </c>
      <c r="I76" s="320">
        <f t="shared" si="18"/>
        <v>17.316806149440861</v>
      </c>
      <c r="J76" s="81"/>
      <c r="AI76">
        <v>86.54297519059277</v>
      </c>
      <c r="AJ76">
        <v>38599899.049999997</v>
      </c>
      <c r="AK76">
        <v>25.14693031353012</v>
      </c>
    </row>
    <row r="77" spans="1:37" x14ac:dyDescent="0.25">
      <c r="A77" s="11" t="s">
        <v>37</v>
      </c>
      <c r="B77" s="95">
        <f>(B28+D28+E28)/1000</f>
        <v>163.67298</v>
      </c>
      <c r="C77" s="319">
        <f t="shared" si="14"/>
        <v>0.54209486921367234</v>
      </c>
      <c r="D77" s="313">
        <f>(G28+I28+J28)/1000</f>
        <v>10182.540659164122</v>
      </c>
      <c r="E77" s="319">
        <f t="shared" si="15"/>
        <v>15.236159473653474</v>
      </c>
      <c r="F77" s="95">
        <f>(L28+N28+O28)/1000</f>
        <v>23105.360583400005</v>
      </c>
      <c r="G77" s="321">
        <f t="shared" si="16"/>
        <v>52.512154501097555</v>
      </c>
      <c r="H77" s="102">
        <f t="shared" si="17"/>
        <v>33451.57422256413</v>
      </c>
      <c r="I77" s="321">
        <f t="shared" si="18"/>
        <v>23.720463184606032</v>
      </c>
      <c r="J77" s="81"/>
      <c r="AI77">
        <v>100</v>
      </c>
      <c r="AJ77">
        <v>153497459.00887001</v>
      </c>
      <c r="AK77">
        <v>100</v>
      </c>
    </row>
    <row r="78" spans="1:37" x14ac:dyDescent="0.25">
      <c r="A78" s="75" t="s">
        <v>68</v>
      </c>
      <c r="B78" s="95">
        <f>SUM(B66:B77)</f>
        <v>30192.681999999997</v>
      </c>
      <c r="C78" s="101">
        <f>SUM(C66:C77)</f>
        <v>100</v>
      </c>
      <c r="D78" s="313">
        <f>SUM(D66:D77)</f>
        <v>66831.412973668848</v>
      </c>
      <c r="E78" s="53">
        <f>SUM(E66:E77)</f>
        <v>100.00000000000003</v>
      </c>
      <c r="F78" s="102">
        <f>SUM(F66:F77)</f>
        <v>44000.024000000005</v>
      </c>
      <c r="G78" s="53">
        <f t="shared" ref="G78:I78" si="20">SUM(G66:G77)</f>
        <v>100.00000000000001</v>
      </c>
      <c r="H78" s="95">
        <f>SUM(H66:H77)</f>
        <v>141024.11897366884</v>
      </c>
      <c r="I78" s="53">
        <f t="shared" si="20"/>
        <v>100.00000000000001</v>
      </c>
      <c r="J78" s="81"/>
    </row>
    <row r="79" spans="1:37" x14ac:dyDescent="0.25">
      <c r="D79" s="65"/>
      <c r="J79" s="81"/>
    </row>
    <row r="80" spans="1:37" x14ac:dyDescent="0.25">
      <c r="D80" s="65"/>
      <c r="J80" s="81"/>
    </row>
    <row r="81" spans="1:10" x14ac:dyDescent="0.25">
      <c r="B81" s="81">
        <f>(B57+D57+E57)/1000</f>
        <v>30192.682000000001</v>
      </c>
      <c r="D81" s="314">
        <f>+(G57+I57+J57)/1000</f>
        <v>66831.422000000006</v>
      </c>
      <c r="F81" s="81">
        <f>(L57+N57+O57)/1000</f>
        <v>44000.023999999998</v>
      </c>
      <c r="J81" s="81"/>
    </row>
    <row r="82" spans="1:10" x14ac:dyDescent="0.25">
      <c r="A82" s="105" t="s">
        <v>77</v>
      </c>
      <c r="D82" s="310"/>
      <c r="J82" s="81"/>
    </row>
    <row r="83" spans="1:10" x14ac:dyDescent="0.25">
      <c r="J83" s="81"/>
    </row>
    <row r="84" spans="1:10" x14ac:dyDescent="0.25">
      <c r="A84" s="68"/>
      <c r="B84" s="68" t="s">
        <v>62</v>
      </c>
      <c r="C84" s="58"/>
      <c r="D84" s="57" t="s">
        <v>63</v>
      </c>
      <c r="E84" s="57"/>
      <c r="F84" s="68" t="s">
        <v>67</v>
      </c>
      <c r="G84" s="58"/>
      <c r="H84" s="57" t="s">
        <v>68</v>
      </c>
      <c r="I84" s="58"/>
      <c r="J84" s="81"/>
    </row>
    <row r="85" spans="1:10" x14ac:dyDescent="0.25">
      <c r="A85" s="11" t="s">
        <v>72</v>
      </c>
      <c r="B85" s="11" t="s">
        <v>73</v>
      </c>
      <c r="C85" s="53" t="s">
        <v>25</v>
      </c>
      <c r="D85" s="12" t="s">
        <v>73</v>
      </c>
      <c r="E85" s="12" t="s">
        <v>25</v>
      </c>
      <c r="F85" s="11" t="s">
        <v>73</v>
      </c>
      <c r="G85" s="53" t="s">
        <v>25</v>
      </c>
      <c r="H85" s="12" t="s">
        <v>73</v>
      </c>
      <c r="I85" s="53" t="s">
        <v>25</v>
      </c>
      <c r="J85" s="81"/>
    </row>
    <row r="86" spans="1:10" x14ac:dyDescent="0.25">
      <c r="A86" s="66" t="s">
        <v>27</v>
      </c>
      <c r="B86" s="94">
        <f>+C8/1000</f>
        <v>817.92404999999997</v>
      </c>
      <c r="C86" s="316">
        <f>+B86/$B$107*100</f>
        <v>12.297912107772191</v>
      </c>
      <c r="D86" s="94">
        <f>+H8/1000</f>
        <v>250.50844709037105</v>
      </c>
      <c r="E86" s="318">
        <f>+D86/$D$107*100</f>
        <v>0.91638084258312213</v>
      </c>
      <c r="F86" s="94">
        <f>+M8/1000</f>
        <v>346.24528650000002</v>
      </c>
      <c r="G86" s="320">
        <f>+F86/$F$107*100</f>
        <v>1.4515463927250065</v>
      </c>
      <c r="H86" s="104">
        <f>+B86+D86+F86</f>
        <v>1414.6777835903711</v>
      </c>
      <c r="I86" s="320">
        <f>+H86/$H$107*100</f>
        <v>2.4457968073044776</v>
      </c>
      <c r="J86" s="81"/>
    </row>
    <row r="87" spans="1:10" x14ac:dyDescent="0.25">
      <c r="A87" s="66" t="s">
        <v>28</v>
      </c>
      <c r="B87" s="94">
        <f>+C10/1000</f>
        <v>0</v>
      </c>
      <c r="C87" s="316">
        <f t="shared" ref="C87:C106" si="21">+B87/$B$107*100</f>
        <v>0</v>
      </c>
      <c r="D87" s="94">
        <f>+H10/1000</f>
        <v>407.278901214472</v>
      </c>
      <c r="E87" s="318">
        <f t="shared" ref="E87:E106" si="22">+D87/$D$107*100</f>
        <v>1.4898602701672803</v>
      </c>
      <c r="F87" s="94">
        <f>+M10/1000</f>
        <v>0</v>
      </c>
      <c r="G87" s="320">
        <f t="shared" ref="G87:G106" si="23">+F87/$F$107*100</f>
        <v>0</v>
      </c>
      <c r="H87" s="104">
        <f t="shared" ref="H87:H106" si="24">+B87+D87+F87</f>
        <v>407.278901214472</v>
      </c>
      <c r="I87" s="320">
        <f t="shared" ref="I87:I106" si="25">+H87/$H$107*100</f>
        <v>0.70413308799176322</v>
      </c>
      <c r="J87" s="81"/>
    </row>
    <row r="88" spans="1:10" x14ac:dyDescent="0.25">
      <c r="A88" s="66" t="s">
        <v>29</v>
      </c>
      <c r="B88" s="94">
        <f>+C12/1000</f>
        <v>0</v>
      </c>
      <c r="C88" s="316">
        <f t="shared" si="21"/>
        <v>0</v>
      </c>
      <c r="D88" s="94">
        <f>+H12/1000</f>
        <v>84.546862109414931</v>
      </c>
      <c r="E88" s="318">
        <f t="shared" si="22"/>
        <v>0.30927948992328702</v>
      </c>
      <c r="F88" s="94">
        <f>+M12/1000</f>
        <v>0</v>
      </c>
      <c r="G88" s="320">
        <f t="shared" si="23"/>
        <v>0</v>
      </c>
      <c r="H88" s="104">
        <f t="shared" si="24"/>
        <v>84.546862109414931</v>
      </c>
      <c r="I88" s="320">
        <f t="shared" si="25"/>
        <v>0.14617070248322686</v>
      </c>
      <c r="J88" s="81"/>
    </row>
    <row r="89" spans="1:10" x14ac:dyDescent="0.25">
      <c r="A89" s="66" t="s">
        <v>31</v>
      </c>
      <c r="B89" s="94">
        <f>+C16/1000</f>
        <v>0</v>
      </c>
      <c r="C89" s="316">
        <f t="shared" si="21"/>
        <v>0</v>
      </c>
      <c r="D89" s="94">
        <f>+H16/1000</f>
        <v>8.1915600000000008</v>
      </c>
      <c r="E89" s="318">
        <f t="shared" si="22"/>
        <v>2.9965411314701876E-2</v>
      </c>
      <c r="F89" s="94">
        <f>+M16/1000</f>
        <v>0</v>
      </c>
      <c r="G89" s="320">
        <f t="shared" si="23"/>
        <v>0</v>
      </c>
      <c r="H89" s="104">
        <f t="shared" si="24"/>
        <v>8.1915600000000008</v>
      </c>
      <c r="I89" s="320">
        <f t="shared" si="25"/>
        <v>1.4162158710088499E-2</v>
      </c>
      <c r="J89" s="81"/>
    </row>
    <row r="90" spans="1:10" x14ac:dyDescent="0.25">
      <c r="A90" s="66" t="s">
        <v>32</v>
      </c>
      <c r="B90" s="94">
        <f>+C18/1000</f>
        <v>0</v>
      </c>
      <c r="C90" s="316">
        <f t="shared" si="21"/>
        <v>0</v>
      </c>
      <c r="D90" s="94">
        <f>+H18/1000</f>
        <v>1640.6493123918824</v>
      </c>
      <c r="E90" s="318">
        <f t="shared" si="22"/>
        <v>6.0016323470749846</v>
      </c>
      <c r="F90" s="94">
        <f>+M18/1000</f>
        <v>0</v>
      </c>
      <c r="G90" s="320">
        <f t="shared" si="23"/>
        <v>0</v>
      </c>
      <c r="H90" s="104">
        <f t="shared" si="24"/>
        <v>1640.6493123918824</v>
      </c>
      <c r="I90" s="320">
        <f t="shared" si="25"/>
        <v>2.8364726559643589</v>
      </c>
    </row>
    <row r="91" spans="1:10" x14ac:dyDescent="0.25">
      <c r="A91" s="66" t="s">
        <v>74</v>
      </c>
      <c r="B91" s="94">
        <f>+C20/1000</f>
        <v>327.16962000000001</v>
      </c>
      <c r="C91" s="316">
        <f t="shared" si="21"/>
        <v>4.9191648431088764</v>
      </c>
      <c r="D91" s="94">
        <f>+H20/1000</f>
        <v>22.435260000000003</v>
      </c>
      <c r="E91" s="318">
        <f t="shared" si="22"/>
        <v>8.2070056723295495E-2</v>
      </c>
      <c r="F91" s="94">
        <f>+M20/1000</f>
        <v>603.09009000000003</v>
      </c>
      <c r="G91" s="320">
        <f t="shared" si="23"/>
        <v>2.5283037163531161</v>
      </c>
      <c r="H91" s="104">
        <f t="shared" si="24"/>
        <v>952.69497000000001</v>
      </c>
      <c r="I91" s="320">
        <f t="shared" si="25"/>
        <v>1.6470876569838957</v>
      </c>
    </row>
    <row r="92" spans="1:10" x14ac:dyDescent="0.25">
      <c r="A92" s="66" t="s">
        <v>75</v>
      </c>
      <c r="B92" s="94">
        <f>+C22/1000</f>
        <v>0</v>
      </c>
      <c r="C92" s="316">
        <f t="shared" si="21"/>
        <v>0</v>
      </c>
      <c r="D92" s="94">
        <f>+H22/1000</f>
        <v>420.62781000000001</v>
      </c>
      <c r="E92" s="318">
        <f t="shared" si="22"/>
        <v>1.5386916945065738</v>
      </c>
      <c r="F92" s="94">
        <f>+M22/1000</f>
        <v>0</v>
      </c>
      <c r="G92" s="320">
        <f t="shared" si="23"/>
        <v>0</v>
      </c>
      <c r="H92" s="104">
        <f t="shared" si="24"/>
        <v>420.62781000000001</v>
      </c>
      <c r="I92" s="320">
        <f t="shared" si="25"/>
        <v>0.72721164260494342</v>
      </c>
    </row>
    <row r="93" spans="1:10" x14ac:dyDescent="0.25">
      <c r="A93" s="66" t="s">
        <v>76</v>
      </c>
      <c r="B93" s="94">
        <f>+C24/1000</f>
        <v>0</v>
      </c>
      <c r="C93" s="316">
        <f t="shared" si="21"/>
        <v>0</v>
      </c>
      <c r="D93" s="94">
        <f>+H24/1000</f>
        <v>7.8010299999999999</v>
      </c>
      <c r="E93" s="318">
        <f t="shared" si="22"/>
        <v>2.8536819925426747E-2</v>
      </c>
      <c r="F93" s="94">
        <f>+M24/1000</f>
        <v>0</v>
      </c>
      <c r="G93" s="320">
        <f t="shared" si="23"/>
        <v>0</v>
      </c>
      <c r="H93" s="104">
        <f t="shared" si="24"/>
        <v>7.8010299999999999</v>
      </c>
      <c r="I93" s="320">
        <f>+H93/$H$107*100</f>
        <v>1.3486982328416282E-2</v>
      </c>
    </row>
    <row r="94" spans="1:10" x14ac:dyDescent="0.25">
      <c r="A94" s="66" t="s">
        <v>37</v>
      </c>
      <c r="B94" s="94">
        <f>+C28/1000</f>
        <v>0</v>
      </c>
      <c r="C94" s="316">
        <f t="shared" si="21"/>
        <v>0</v>
      </c>
      <c r="D94" s="94">
        <f>+H28/1000</f>
        <v>124.81697414264687</v>
      </c>
      <c r="E94" s="318">
        <f t="shared" si="22"/>
        <v>0.45659092642194182</v>
      </c>
      <c r="F94" s="94">
        <f>+M28/1000</f>
        <v>1019.3417099533334</v>
      </c>
      <c r="G94" s="320">
        <f t="shared" si="23"/>
        <v>4.2733340776810858</v>
      </c>
      <c r="H94" s="104">
        <f t="shared" si="24"/>
        <v>1144.1586840959803</v>
      </c>
      <c r="I94" s="320">
        <f t="shared" si="25"/>
        <v>1.9781039110612975</v>
      </c>
    </row>
    <row r="95" spans="1:10" x14ac:dyDescent="0.25">
      <c r="A95" s="113" t="s">
        <v>38</v>
      </c>
      <c r="B95" s="94">
        <f>+C30/1000</f>
        <v>218.11308000000002</v>
      </c>
      <c r="C95" s="316">
        <f t="shared" si="21"/>
        <v>3.2794432287392512</v>
      </c>
      <c r="D95" s="94">
        <f>+H30/1000</f>
        <v>398.7400555953854</v>
      </c>
      <c r="E95" s="318">
        <f>+D95/$D$107*100</f>
        <v>1.4586244590240218</v>
      </c>
      <c r="F95" s="94">
        <f>+M30/1000</f>
        <v>0</v>
      </c>
      <c r="G95" s="320">
        <f t="shared" si="23"/>
        <v>0</v>
      </c>
      <c r="H95" s="104">
        <f t="shared" si="24"/>
        <v>616.85313559538542</v>
      </c>
      <c r="I95" s="320">
        <f t="shared" si="25"/>
        <v>1.0664601134725973</v>
      </c>
    </row>
    <row r="96" spans="1:10" x14ac:dyDescent="0.25">
      <c r="A96" s="66" t="s">
        <v>39</v>
      </c>
      <c r="B96" s="94">
        <f>+C32/1000</f>
        <v>1360.4590799999999</v>
      </c>
      <c r="C96" s="316">
        <f t="shared" si="21"/>
        <v>20.455207536764096</v>
      </c>
      <c r="D96" s="94">
        <f>+H32/1000</f>
        <v>1832.2057986055681</v>
      </c>
      <c r="E96" s="318">
        <f t="shared" si="22"/>
        <v>6.7023619882412717</v>
      </c>
      <c r="F96" s="94">
        <f>+M32/1000</f>
        <v>8278.3083932748286</v>
      </c>
      <c r="G96" s="320">
        <f t="shared" si="23"/>
        <v>34.704728568552575</v>
      </c>
      <c r="H96" s="104">
        <f t="shared" si="24"/>
        <v>11470.973271880397</v>
      </c>
      <c r="I96" s="320">
        <f t="shared" si="25"/>
        <v>19.83184448817482</v>
      </c>
    </row>
    <row r="97" spans="1:11" x14ac:dyDescent="0.25">
      <c r="A97" s="66" t="s">
        <v>40</v>
      </c>
      <c r="B97" s="94">
        <f>+C34/1000</f>
        <v>1386.3054199999999</v>
      </c>
      <c r="C97" s="316">
        <f t="shared" si="21"/>
        <v>20.843820657539304</v>
      </c>
      <c r="D97" s="94">
        <f>+H34/1000</f>
        <v>2635.2207529592547</v>
      </c>
      <c r="E97" s="318">
        <f t="shared" si="22"/>
        <v>9.6398578253058567</v>
      </c>
      <c r="F97" s="94">
        <f>+M34/1000</f>
        <v>540.26251348751941</v>
      </c>
      <c r="G97" s="320">
        <f t="shared" si="23"/>
        <v>2.2649148830430472</v>
      </c>
      <c r="H97" s="104">
        <f t="shared" si="24"/>
        <v>4561.7886864467746</v>
      </c>
      <c r="I97" s="320">
        <f t="shared" si="25"/>
        <v>7.8867487242167984</v>
      </c>
    </row>
    <row r="98" spans="1:11" x14ac:dyDescent="0.25">
      <c r="A98" s="66" t="s">
        <v>41</v>
      </c>
      <c r="B98" s="94">
        <f>+C36/1000</f>
        <v>0</v>
      </c>
      <c r="C98" s="316">
        <f t="shared" si="21"/>
        <v>0</v>
      </c>
      <c r="D98" s="94">
        <f>+H36/1000</f>
        <v>235.20319104089802</v>
      </c>
      <c r="E98" s="318">
        <f t="shared" si="22"/>
        <v>0.86039293639684156</v>
      </c>
      <c r="F98" s="94">
        <f>+M36/1000</f>
        <v>1998.0839224444446</v>
      </c>
      <c r="G98" s="320">
        <f t="shared" si="23"/>
        <v>8.3764649601549586</v>
      </c>
      <c r="H98" s="104">
        <f t="shared" si="24"/>
        <v>2233.2871134853426</v>
      </c>
      <c r="I98" s="320">
        <f t="shared" si="25"/>
        <v>3.8610675556761889</v>
      </c>
    </row>
    <row r="99" spans="1:11" x14ac:dyDescent="0.25">
      <c r="A99" s="66" t="s">
        <v>42</v>
      </c>
      <c r="B99" s="94">
        <f>+C38/1000</f>
        <v>575.56085000000007</v>
      </c>
      <c r="C99" s="316">
        <f t="shared" si="21"/>
        <v>8.6538557534463685</v>
      </c>
      <c r="D99" s="94">
        <f>+H38/1000</f>
        <v>2567.226335156091</v>
      </c>
      <c r="E99" s="318">
        <f t="shared" si="22"/>
        <v>9.3911285604801709</v>
      </c>
      <c r="F99" s="94">
        <f>+M38/1000</f>
        <v>3074.5761811886541</v>
      </c>
      <c r="G99" s="320">
        <f t="shared" si="23"/>
        <v>12.889388358396081</v>
      </c>
      <c r="H99" s="104">
        <f t="shared" si="24"/>
        <v>6217.3633663447454</v>
      </c>
      <c r="I99" s="320">
        <f t="shared" si="25"/>
        <v>10.7490254301335</v>
      </c>
    </row>
    <row r="100" spans="1:11" x14ac:dyDescent="0.25">
      <c r="A100" s="66" t="s">
        <v>43</v>
      </c>
      <c r="B100" s="94">
        <f>+C40/1000</f>
        <v>662.31924000000004</v>
      </c>
      <c r="C100" s="316">
        <f t="shared" si="21"/>
        <v>9.9583131230906794</v>
      </c>
      <c r="D100" s="94">
        <f>+H40/1000</f>
        <v>2092.6515316777627</v>
      </c>
      <c r="E100" s="318">
        <f t="shared" si="22"/>
        <v>7.6550942537276221</v>
      </c>
      <c r="F100" s="94">
        <f>+M40/1000</f>
        <v>2696.1404047107503</v>
      </c>
      <c r="G100" s="320">
        <f t="shared" si="23"/>
        <v>11.302891422142228</v>
      </c>
      <c r="H100" s="104">
        <f t="shared" si="24"/>
        <v>5451.1111763885128</v>
      </c>
      <c r="I100" s="320">
        <f t="shared" si="25"/>
        <v>9.4242734749365606</v>
      </c>
    </row>
    <row r="101" spans="1:11" x14ac:dyDescent="0.25">
      <c r="A101" s="66" t="s">
        <v>44</v>
      </c>
      <c r="B101" s="94">
        <f>+C42/1000</f>
        <v>286.32166000000001</v>
      </c>
      <c r="C101" s="316">
        <f t="shared" si="21"/>
        <v>4.3049945887169265</v>
      </c>
      <c r="D101" s="94">
        <f>+H42/1000</f>
        <v>2561.8467212007454</v>
      </c>
      <c r="E101" s="318">
        <f t="shared" si="22"/>
        <v>9.3714494828824684</v>
      </c>
      <c r="F101" s="94">
        <f>+M42/1000</f>
        <v>104.20933901759709</v>
      </c>
      <c r="G101" s="320">
        <f t="shared" si="23"/>
        <v>0.43687147821794331</v>
      </c>
      <c r="H101" s="104">
        <f t="shared" si="24"/>
        <v>2952.3777202183423</v>
      </c>
      <c r="I101" s="320">
        <f t="shared" si="25"/>
        <v>5.1042831702217182</v>
      </c>
    </row>
    <row r="102" spans="1:11" x14ac:dyDescent="0.25">
      <c r="A102" s="66" t="s">
        <v>45</v>
      </c>
      <c r="B102" s="94">
        <f>+C44/1000</f>
        <v>263.81522000000001</v>
      </c>
      <c r="C102" s="316">
        <f t="shared" si="21"/>
        <v>3.9665985958630072</v>
      </c>
      <c r="D102" s="94">
        <f>+H44/1000</f>
        <v>2766.8841161990936</v>
      </c>
      <c r="E102" s="318">
        <f t="shared" si="22"/>
        <v>10.121493415420408</v>
      </c>
      <c r="F102" s="94">
        <f>+M44/1000</f>
        <v>311.81050573730806</v>
      </c>
      <c r="G102" s="320">
        <f t="shared" si="23"/>
        <v>1.3071872238086031</v>
      </c>
      <c r="H102" s="104">
        <f t="shared" si="24"/>
        <v>3342.5098419364017</v>
      </c>
      <c r="I102" s="320">
        <f t="shared" si="25"/>
        <v>5.7787716712733763</v>
      </c>
    </row>
    <row r="103" spans="1:11" x14ac:dyDescent="0.25">
      <c r="A103" s="66" t="s">
        <v>46</v>
      </c>
      <c r="B103" s="94">
        <f>+C46/1000</f>
        <v>54.528270000000006</v>
      </c>
      <c r="C103" s="316">
        <f t="shared" si="21"/>
        <v>0.8198608071848128</v>
      </c>
      <c r="D103" s="94">
        <f>+H46/1000</f>
        <v>613.32657190646933</v>
      </c>
      <c r="E103" s="318">
        <f t="shared" si="22"/>
        <v>2.24359987565414</v>
      </c>
      <c r="F103" s="94">
        <f>+M46/1000</f>
        <v>31.079240000000002</v>
      </c>
      <c r="G103" s="320">
        <f t="shared" si="23"/>
        <v>0.13029190712357822</v>
      </c>
      <c r="H103" s="104">
        <f t="shared" si="24"/>
        <v>698.93408190646937</v>
      </c>
      <c r="I103" s="320">
        <f t="shared" si="25"/>
        <v>1.2083675631808122</v>
      </c>
    </row>
    <row r="104" spans="1:11" x14ac:dyDescent="0.25">
      <c r="A104" s="66" t="s">
        <v>47</v>
      </c>
      <c r="B104" s="94">
        <f>+C48/1000</f>
        <v>542.52641000000006</v>
      </c>
      <c r="C104" s="316">
        <f t="shared" si="21"/>
        <v>8.1571658228232558</v>
      </c>
      <c r="D104" s="94">
        <f>+H48/1000</f>
        <v>7363.7541553169604</v>
      </c>
      <c r="E104" s="318">
        <f t="shared" si="22"/>
        <v>26.937228328232688</v>
      </c>
      <c r="F104" s="94">
        <f>+M48/1000</f>
        <v>816.73289906984633</v>
      </c>
      <c r="G104" s="320">
        <f t="shared" si="23"/>
        <v>3.4239475299389297</v>
      </c>
      <c r="H104" s="104">
        <f t="shared" si="24"/>
        <v>8723.0134643868078</v>
      </c>
      <c r="I104" s="320">
        <f t="shared" si="25"/>
        <v>15.080973723306046</v>
      </c>
    </row>
    <row r="105" spans="1:11" x14ac:dyDescent="0.25">
      <c r="A105" s="66" t="s">
        <v>48</v>
      </c>
      <c r="B105" s="94">
        <f>+C50/1000</f>
        <v>126.13296000000001</v>
      </c>
      <c r="C105" s="316">
        <f t="shared" si="21"/>
        <v>1.896474441573329</v>
      </c>
      <c r="D105" s="94">
        <f>+H50/1000</f>
        <v>571.59135708771544</v>
      </c>
      <c r="E105" s="318">
        <f t="shared" si="22"/>
        <v>2.0909289706798249</v>
      </c>
      <c r="F105" s="94">
        <f>+M50/1000</f>
        <v>3809.4176816357185</v>
      </c>
      <c r="G105" s="320">
        <f t="shared" si="23"/>
        <v>15.970026769335337</v>
      </c>
      <c r="H105" s="104">
        <f t="shared" si="24"/>
        <v>4507.141998723434</v>
      </c>
      <c r="I105" s="320">
        <f t="shared" si="25"/>
        <v>7.7922715959874269</v>
      </c>
    </row>
    <row r="106" spans="1:11" x14ac:dyDescent="0.25">
      <c r="A106" s="66" t="s">
        <v>49</v>
      </c>
      <c r="B106" s="95">
        <f>+C52/1000</f>
        <v>29.742140000000003</v>
      </c>
      <c r="C106" s="317">
        <f t="shared" si="21"/>
        <v>0.44718849337790667</v>
      </c>
      <c r="D106" s="95">
        <f>+H52/1000</f>
        <v>731.21129421516673</v>
      </c>
      <c r="E106" s="319">
        <f t="shared" si="22"/>
        <v>2.6748320453140741</v>
      </c>
      <c r="F106" s="95">
        <f>+M52/1000</f>
        <v>224.24783298</v>
      </c>
      <c r="G106" s="321">
        <f t="shared" si="23"/>
        <v>0.94010271252752109</v>
      </c>
      <c r="H106" s="125">
        <f t="shared" si="24"/>
        <v>985.20126719516668</v>
      </c>
      <c r="I106" s="321">
        <f t="shared" si="25"/>
        <v>1.7032868839876967</v>
      </c>
    </row>
    <row r="107" spans="1:11" x14ac:dyDescent="0.25">
      <c r="A107" s="76" t="s">
        <v>68</v>
      </c>
      <c r="B107" s="95">
        <f t="shared" ref="B107:I107" si="26">SUM(B86:B106)</f>
        <v>6650.9179999999997</v>
      </c>
      <c r="C107" s="114">
        <f t="shared" si="26"/>
        <v>100</v>
      </c>
      <c r="D107" s="125">
        <f t="shared" si="26"/>
        <v>27336.718037909897</v>
      </c>
      <c r="E107" s="112">
        <f t="shared" si="26"/>
        <v>100</v>
      </c>
      <c r="F107" s="305">
        <f t="shared" si="26"/>
        <v>23853.545999999998</v>
      </c>
      <c r="G107" s="101">
        <f t="shared" si="26"/>
        <v>99.999999999999986</v>
      </c>
      <c r="H107" s="95">
        <f t="shared" si="26"/>
        <v>57841.182037909894</v>
      </c>
      <c r="I107" s="101">
        <f t="shared" si="26"/>
        <v>100.00000000000001</v>
      </c>
    </row>
    <row r="108" spans="1:11" x14ac:dyDescent="0.25">
      <c r="F108" s="64"/>
    </row>
    <row r="109" spans="1:11" x14ac:dyDescent="0.25">
      <c r="F109" s="64"/>
    </row>
    <row r="110" spans="1:11" x14ac:dyDescent="0.25">
      <c r="B110" s="64">
        <f>+C57/1000</f>
        <v>6650.9179999999997</v>
      </c>
      <c r="D110" s="64">
        <f>+H57/1000</f>
        <v>27336.718000000001</v>
      </c>
      <c r="F110" s="64">
        <f>+M57/1000</f>
        <v>23853.545999999998</v>
      </c>
      <c r="K110" s="81"/>
    </row>
    <row r="111" spans="1:11" x14ac:dyDescent="0.25">
      <c r="F111" s="64"/>
    </row>
  </sheetData>
  <mergeCells count="13">
    <mergeCell ref="L2:P2"/>
    <mergeCell ref="L3:P3"/>
    <mergeCell ref="L4:P4"/>
    <mergeCell ref="B1:U1"/>
    <mergeCell ref="Q2:U2"/>
    <mergeCell ref="Q3:U3"/>
    <mergeCell ref="Q4:U4"/>
    <mergeCell ref="B2:F2"/>
    <mergeCell ref="B3:F3"/>
    <mergeCell ref="B4:F4"/>
    <mergeCell ref="G2:K2"/>
    <mergeCell ref="G3:K3"/>
    <mergeCell ref="G4:K4"/>
  </mergeCells>
  <pageMargins left="0.3" right="0.55000000000000004" top="0.74803149606299213" bottom="0.74803149606299213" header="0.31496062992125984" footer="0.31496062992125984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E55"/>
  <sheetViews>
    <sheetView topLeftCell="A16" zoomScale="80" zoomScaleNormal="80" workbookViewId="0">
      <selection activeCell="X13" sqref="X13"/>
    </sheetView>
  </sheetViews>
  <sheetFormatPr defaultRowHeight="15" x14ac:dyDescent="0.25"/>
  <cols>
    <col min="1" max="1" width="28.5703125" customWidth="1"/>
    <col min="2" max="2" width="14" customWidth="1"/>
    <col min="3" max="3" width="12" bestFit="1" customWidth="1"/>
    <col min="4" max="4" width="10.7109375" customWidth="1"/>
    <col min="5" max="5" width="13" customWidth="1"/>
    <col min="6" max="6" width="12.42578125" customWidth="1"/>
    <col min="7" max="7" width="14" customWidth="1"/>
    <col min="8" max="8" width="10.85546875" bestFit="1" customWidth="1"/>
    <col min="9" max="9" width="11.140625" customWidth="1"/>
    <col min="10" max="10" width="12.42578125" customWidth="1"/>
    <col min="11" max="11" width="10.85546875" bestFit="1" customWidth="1"/>
    <col min="12" max="12" width="12.42578125" customWidth="1"/>
    <col min="13" max="13" width="11.140625" customWidth="1"/>
    <col min="14" max="14" width="11" customWidth="1"/>
    <col min="15" max="15" width="13.140625" customWidth="1"/>
    <col min="16" max="16" width="12" bestFit="1" customWidth="1"/>
    <col min="17" max="17" width="13.140625" customWidth="1"/>
    <col min="18" max="18" width="10.85546875" bestFit="1" customWidth="1"/>
    <col min="19" max="19" width="10.7109375" customWidth="1"/>
    <col min="20" max="20" width="13" customWidth="1"/>
    <col min="21" max="21" width="12" bestFit="1" customWidth="1"/>
    <col min="22" max="22" width="12.7109375" customWidth="1"/>
    <col min="23" max="23" width="10.85546875" bestFit="1" customWidth="1"/>
    <col min="24" max="24" width="10.5703125" customWidth="1"/>
    <col min="25" max="25" width="12.7109375" customWidth="1"/>
    <col min="26" max="26" width="12" bestFit="1" customWidth="1"/>
    <col min="27" max="27" width="12.85546875" customWidth="1"/>
    <col min="28" max="28" width="10.85546875" bestFit="1" customWidth="1"/>
    <col min="29" max="29" width="10.5703125" customWidth="1"/>
    <col min="30" max="30" width="13.28515625" customWidth="1"/>
    <col min="31" max="31" width="10.85546875" bestFit="1" customWidth="1"/>
  </cols>
  <sheetData>
    <row r="1" spans="1:31" x14ac:dyDescent="0.25">
      <c r="A1" s="69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</row>
    <row r="2" spans="1:31" x14ac:dyDescent="0.25">
      <c r="A2" s="106" t="s">
        <v>0</v>
      </c>
      <c r="B2" s="350" t="s">
        <v>60</v>
      </c>
      <c r="C2" s="351"/>
      <c r="D2" s="351"/>
      <c r="E2" s="351"/>
      <c r="F2" s="352"/>
      <c r="G2" s="350" t="s">
        <v>60</v>
      </c>
      <c r="H2" s="351"/>
      <c r="I2" s="351"/>
      <c r="J2" s="351"/>
      <c r="K2" s="352"/>
      <c r="L2" s="350" t="s">
        <v>60</v>
      </c>
      <c r="M2" s="351"/>
      <c r="N2" s="351"/>
      <c r="O2" s="351"/>
      <c r="P2" s="352"/>
      <c r="Q2" s="350" t="s">
        <v>60</v>
      </c>
      <c r="R2" s="351"/>
      <c r="S2" s="351"/>
      <c r="T2" s="351"/>
      <c r="U2" s="352"/>
      <c r="V2" s="350" t="s">
        <v>60</v>
      </c>
      <c r="W2" s="351"/>
      <c r="X2" s="351"/>
      <c r="Y2" s="351"/>
      <c r="Z2" s="352"/>
      <c r="AA2" s="350" t="s">
        <v>60</v>
      </c>
      <c r="AB2" s="351"/>
      <c r="AC2" s="351"/>
      <c r="AD2" s="351"/>
      <c r="AE2" s="352"/>
    </row>
    <row r="3" spans="1:31" x14ac:dyDescent="0.25">
      <c r="A3" s="70"/>
      <c r="B3" s="344" t="s">
        <v>63</v>
      </c>
      <c r="C3" s="345"/>
      <c r="D3" s="345"/>
      <c r="E3" s="345"/>
      <c r="F3" s="346"/>
      <c r="G3" s="344" t="s">
        <v>63</v>
      </c>
      <c r="H3" s="345"/>
      <c r="I3" s="345"/>
      <c r="J3" s="345"/>
      <c r="K3" s="346"/>
      <c r="L3" s="344" t="s">
        <v>63</v>
      </c>
      <c r="M3" s="345"/>
      <c r="N3" s="345"/>
      <c r="O3" s="345"/>
      <c r="P3" s="346"/>
      <c r="Q3" s="344" t="s">
        <v>63</v>
      </c>
      <c r="R3" s="345"/>
      <c r="S3" s="345"/>
      <c r="T3" s="345"/>
      <c r="U3" s="346"/>
      <c r="V3" s="344" t="s">
        <v>63</v>
      </c>
      <c r="W3" s="345"/>
      <c r="X3" s="345"/>
      <c r="Y3" s="345"/>
      <c r="Z3" s="346"/>
      <c r="AA3" s="344" t="s">
        <v>63</v>
      </c>
      <c r="AB3" s="345"/>
      <c r="AC3" s="345"/>
      <c r="AD3" s="345"/>
      <c r="AE3" s="346"/>
    </row>
    <row r="4" spans="1:31" x14ac:dyDescent="0.25">
      <c r="A4" s="70"/>
      <c r="B4" s="344" t="s">
        <v>89</v>
      </c>
      <c r="C4" s="345"/>
      <c r="D4" s="345"/>
      <c r="E4" s="345"/>
      <c r="F4" s="346"/>
      <c r="G4" s="344" t="s">
        <v>90</v>
      </c>
      <c r="H4" s="345"/>
      <c r="I4" s="345"/>
      <c r="J4" s="345"/>
      <c r="K4" s="346"/>
      <c r="L4" s="344" t="s">
        <v>91</v>
      </c>
      <c r="M4" s="345"/>
      <c r="N4" s="345"/>
      <c r="O4" s="345"/>
      <c r="P4" s="346"/>
      <c r="Q4" s="344" t="s">
        <v>92</v>
      </c>
      <c r="R4" s="345"/>
      <c r="S4" s="345"/>
      <c r="T4" s="345"/>
      <c r="U4" s="346"/>
      <c r="V4" s="344" t="s">
        <v>93</v>
      </c>
      <c r="W4" s="345"/>
      <c r="X4" s="345"/>
      <c r="Y4" s="345"/>
      <c r="Z4" s="346"/>
      <c r="AA4" s="344" t="s">
        <v>94</v>
      </c>
      <c r="AB4" s="345"/>
      <c r="AC4" s="345"/>
      <c r="AD4" s="345"/>
      <c r="AE4" s="346"/>
    </row>
    <row r="5" spans="1:31" x14ac:dyDescent="0.25">
      <c r="A5" s="52"/>
      <c r="B5" s="51" t="s">
        <v>18</v>
      </c>
      <c r="C5" s="71" t="s">
        <v>19</v>
      </c>
      <c r="D5" s="71" t="s">
        <v>20</v>
      </c>
      <c r="E5" s="71" t="s">
        <v>22</v>
      </c>
      <c r="F5" s="72" t="s">
        <v>65</v>
      </c>
      <c r="G5" s="51" t="s">
        <v>18</v>
      </c>
      <c r="H5" s="71" t="s">
        <v>19</v>
      </c>
      <c r="I5" s="71" t="s">
        <v>20</v>
      </c>
      <c r="J5" s="71" t="s">
        <v>22</v>
      </c>
      <c r="K5" s="72" t="s">
        <v>65</v>
      </c>
      <c r="L5" s="51" t="s">
        <v>18</v>
      </c>
      <c r="M5" s="71" t="s">
        <v>19</v>
      </c>
      <c r="N5" s="71" t="s">
        <v>20</v>
      </c>
      <c r="O5" s="71" t="s">
        <v>22</v>
      </c>
      <c r="P5" s="72" t="s">
        <v>65</v>
      </c>
      <c r="Q5" s="51" t="s">
        <v>18</v>
      </c>
      <c r="R5" s="71" t="s">
        <v>19</v>
      </c>
      <c r="S5" s="71" t="s">
        <v>20</v>
      </c>
      <c r="T5" s="71" t="s">
        <v>22</v>
      </c>
      <c r="U5" s="72" t="s">
        <v>65</v>
      </c>
      <c r="V5" s="51" t="s">
        <v>18</v>
      </c>
      <c r="W5" s="71" t="s">
        <v>19</v>
      </c>
      <c r="X5" s="71" t="s">
        <v>20</v>
      </c>
      <c r="Y5" s="71" t="s">
        <v>22</v>
      </c>
      <c r="Z5" s="72" t="s">
        <v>65</v>
      </c>
      <c r="AA5" s="51" t="s">
        <v>18</v>
      </c>
      <c r="AB5" s="71" t="s">
        <v>19</v>
      </c>
      <c r="AC5" s="71" t="s">
        <v>20</v>
      </c>
      <c r="AD5" s="71" t="s">
        <v>22</v>
      </c>
      <c r="AE5" s="72" t="s">
        <v>65</v>
      </c>
    </row>
    <row r="6" spans="1:31" x14ac:dyDescent="0.25">
      <c r="A6" s="70" t="s">
        <v>26</v>
      </c>
      <c r="B6" s="94">
        <f>+'6'!$S$6+'7'!$S$6+'8'!$S$6+'9'!$S$6+'10'!$S$6+'11'!$S$6+'12'!$S$6+'13'!$S$6+'14'!$S$6+'15'!$S$6</f>
        <v>1814662.249618574</v>
      </c>
      <c r="C6" s="96">
        <f>+'6'!$U$6/100*'6'!$U$31+'7'!$U$6/100*'7'!$U$31+'8'!$U$6/100*'8'!$U$31+'9'!$U$6/100*'9'!$U$31+'10'!$U$6/100*'10'!$U$31+'11'!$U$6/100*'11'!$U$31+'12'!$U$6/100*'12'!$U$31+'13'!$U$6/100*'13'!$U$31+'14'!$U$6/100*'14'!$U$31+'15'!$U$6/100*'15'!$U$31</f>
        <v>0</v>
      </c>
      <c r="D6" s="96">
        <f>+'6'!$V$6/100*'6'!$V$31+'7'!$V$6/100*'7'!$V$31+'8'!$V$6/100*'8'!$V$31+'9'!$V$6/100*'9'!$V$31+'10'!$V$6/100*'10'!$V$31+'11'!$V$6/100*'11'!$V$31+'12'!$V$6/100*'12'!$V$31+'13'!$V$6/100*'13'!$V$31+'14'!$V$6/100*'14'!$V$31+'15'!$V$6/100*'15'!$V$31</f>
        <v>0</v>
      </c>
      <c r="E6" s="96">
        <f>+'6'!$X$6/100*'6'!$X$31+'7'!$X$6/100*'7'!$X$31+'8'!$X$6/100*'8'!$X$31+'9'!$X$6/100*'9'!$X$31+'10'!$X$6/100*'10'!$X$31+'11'!$X$6/100*'11'!$X$31+'12'!$X$6/100*'12'!$X$31+'13'!$X$6/100*'13'!$X$31+'14'!$X$6/100*'14'!$X$31+'15'!$X$6/100*'15'!$X$31</f>
        <v>0</v>
      </c>
      <c r="F6" s="96">
        <f>SUM(B6:E6)</f>
        <v>1814662.249618574</v>
      </c>
      <c r="G6" s="93">
        <f>+'16'!$S6+'17'!$S6+'18'!$S6+'19'!$S6+'20'!$S6</f>
        <v>847178.16365353542</v>
      </c>
      <c r="H6" s="98">
        <f>+'16'!$U6/100*'16'!$U$31+'17'!$U6/100*'17'!$U$31+'18'!$U6/100*'18'!$U$31+'19'!$U6/100*'19'!$U$31+'20'!$U6/100*'20'!$U$31</f>
        <v>0</v>
      </c>
      <c r="I6" s="96">
        <f>+'16'!$V6/100*'16'!$V$31+'17'!$V6/100*'17'!$V$31+'18'!$V6/100*'18'!$V$31+'19'!$V6/100*'19'!$V$31+'20'!$V6/100*'20'!$V$31</f>
        <v>0</v>
      </c>
      <c r="J6" s="96">
        <f>+'16'!$X6/100*'16'!$X$31+'17'!$X6/100*'17'!$X$31+'18'!$X6/100*'18'!$X$31+'19'!$X6/100*'19'!$X$31+'20'!$X6/100*'20'!$X$31</f>
        <v>0</v>
      </c>
      <c r="K6" s="107">
        <f>SUM(G6:J6)</f>
        <v>847178.16365353542</v>
      </c>
      <c r="L6" s="94">
        <f>+'21'!$S6+'22'!$S6+'23'!$S6+'24'!$S6+'25'!$S6</f>
        <v>717788.34540612949</v>
      </c>
      <c r="M6" s="96">
        <f>+'21'!$U6/100*'21'!$U$31+'22'!$U6/100*'22'!$U$31+'23'!$U6/100*'23'!$U$31+'24'!$U6/100*'24'!$U$31+'25'!$U6/100*'25'!$U$31</f>
        <v>0</v>
      </c>
      <c r="N6" s="96">
        <f>+'21'!$V6/100*'21'!$V$31+'22'!$V6/100*'22'!$V$31+'23'!$V6/100*'23'!$V$31+'24'!$V6/100*'24'!$V$31+'25'!$V6/100*'25'!$V$31</f>
        <v>0</v>
      </c>
      <c r="O6" s="96">
        <f>+'21'!$X6/100*'21'!$X$31+'22'!$X6/100*'22'!$X$31+'23'!$X6/100*'23'!$X$31+'24'!$X6/100*'24'!$X$31+'25'!$X6/100*'25'!$X$31</f>
        <v>0</v>
      </c>
      <c r="P6" s="107">
        <f>SUM(L6:O6)</f>
        <v>717788.34540612949</v>
      </c>
      <c r="Q6" s="94">
        <f>+'26'!$S6+'27'!$S6+'28'!$S6+'29'!$S6+'30'!$S6+'31'!$S6+'32'!$S6</f>
        <v>506221.60782571684</v>
      </c>
      <c r="R6" s="304">
        <f>+'26'!$U6/100*'26'!$U$31+'27'!$U6/100*'27'!$U$31+'28'!$U6/100*'28'!$U$31+'29'!$U6/100*'29'!$U$31+'30'!$U6/100*'30'!$U$31+'31'!$U6/100*'31'!$U$31+'32'!$U6/100*'32'!$U$31</f>
        <v>0</v>
      </c>
      <c r="S6" s="96">
        <f>+'26'!$V6/100*'26'!$V$31+'27'!$V6/100*'27'!$V$31+'28'!$V6/100*'28'!$V$31+'29'!$V6/100*'29'!$V$31+'30'!$V6/100*'30'!$V$31+'31'!$V6/100*'31'!$V$31+'32'!$V6/100*'32'!$V$31</f>
        <v>0</v>
      </c>
      <c r="T6" s="96">
        <f>+'26'!$X6/100*'26'!$X$31+'27'!$X6/100*'27'!$X$31+'28'!$X6/100*'28'!$X$31+'29'!$X6/100*'29'!$X$31+'30'!$X6/100*'30'!$X$31+'31'!$X6/100*'31'!$X$31+'32'!$X6/100*'32'!$X$31</f>
        <v>0</v>
      </c>
      <c r="U6" s="107">
        <f>SUM(Q6:T6)</f>
        <v>506221.60782571684</v>
      </c>
      <c r="V6" s="94">
        <f>+'33'!$S6+'34'!$S6+'35'!$S6+'36'!$S6+'37'!$S6+'38'!$S6+'39'!$S6+'40'!$S6+'41'!$S6</f>
        <v>641167.88</v>
      </c>
      <c r="W6" s="96">
        <f>+'33'!$U6/100*'33'!$U$31+'34'!$U6/100*'34'!$U$31+'35'!$U6/100*'35'!$U$31+'36'!$U6/100*'36'!$U$31+'37'!$U6/100*'37'!$U$31+'38'!$U6/100*'38'!$U$31+'39'!$U6/100*'39'!$U$31+'40'!$U6/100*'40'!$U$31+'41'!$U6/100*'41'!$U$31</f>
        <v>0</v>
      </c>
      <c r="X6" s="96">
        <f>+'33'!$V6/100*'33'!$V$31+'34'!$V6/100*'34'!$V$31+'35'!$V6/100*'35'!$V$31+'36'!$V6/100*'36'!$V$31+'37'!$V6/100*'37'!$V$31+'38'!$V6/100*'38'!$V$31+'39'!$V6/100*'39'!$V$31+'40'!$V6/100*'40'!$V$31+'41'!$V6/100*'41'!$V$31</f>
        <v>0</v>
      </c>
      <c r="Y6" s="96">
        <f>+'33'!$X6/100*'33'!$X$31+'34'!$X6/100*'34'!$X$31+'35'!$X6/100*'35'!$X$31+'36'!$X6/100*'36'!$X$31+'37'!$X6/100*'37'!$X$31+'38'!$X6/100*'38'!$X$31+'39'!$X6/100*'39'!$X$31+'40'!$X6/100*'40'!$X$31+'41'!$X6/100*'41'!$X$31</f>
        <v>0</v>
      </c>
      <c r="Z6" s="97">
        <f>SUM(V6:X6)</f>
        <v>641167.88</v>
      </c>
      <c r="AA6" s="94">
        <f>'42'!$S6+'43'!$S6+'44'!$S6+'45'!$S6</f>
        <v>836357.39</v>
      </c>
      <c r="AB6" s="96">
        <f>'42'!$U6/100*'42'!$U$31+'43'!$U6/100*'43'!$U$31+'44'!$U6/100*'44'!$U$31+'45'!$U6/100*'45'!$U$31</f>
        <v>0</v>
      </c>
      <c r="AC6" s="96">
        <f>'42'!$V6/100*'42'!$V$31+'43'!$V6/100*'43'!$V$31+'44'!$V6/100*'44'!$V$31+'45'!$V6/100*'45'!$V$31</f>
        <v>0</v>
      </c>
      <c r="AD6" s="96">
        <f>'42'!$X6/100*'42'!$X$31+'43'!$X6/100*'43'!$X$31+'44'!$X6/100*'44'!$X$31+'45'!$X6/100*'45'!$X$31</f>
        <v>0</v>
      </c>
      <c r="AE6" s="97">
        <f>SUM(AA6:AC6)</f>
        <v>836357.39</v>
      </c>
    </row>
    <row r="7" spans="1:31" x14ac:dyDescent="0.25">
      <c r="A7" s="70"/>
      <c r="F7" s="96"/>
      <c r="G7" s="66"/>
      <c r="H7" s="10"/>
      <c r="K7" s="107"/>
      <c r="P7" s="107"/>
      <c r="U7" s="107"/>
      <c r="Z7" s="97"/>
      <c r="AA7" s="79"/>
      <c r="AB7" s="79"/>
      <c r="AC7" s="79"/>
      <c r="AD7" s="79"/>
      <c r="AE7" s="97"/>
    </row>
    <row r="8" spans="1:31" x14ac:dyDescent="0.25">
      <c r="A8" s="70" t="s">
        <v>27</v>
      </c>
      <c r="B8" s="94">
        <f>+'6'!S7+'7'!S7+'8'!S7+'9'!S7+'10'!S7+'11'!S7+'12'!S7+'13'!S7+'14'!S7+'15'!S7</f>
        <v>5974758.4442064594</v>
      </c>
      <c r="C8" s="96">
        <f>+'6'!U7/100*'6'!$U$31+'7'!U7/100*'7'!$U$31+'8'!U7/100*'8'!$U$31+'9'!U7/100*'9'!$U$31+'10'!U7/100*'10'!$U$31+'11'!U7/100*'11'!$U$31+'12'!U7/100*'12'!$U$31+'13'!U7/100*'13'!$U$31+'14'!U7/100*'14'!$U$31+'15'!U7/100*'15'!$U$31</f>
        <v>34397.08</v>
      </c>
      <c r="D8" s="96">
        <f>+'6'!V7/100*'6'!$V$31+'7'!V7/100*'7'!$V$31+'8'!V7/100*'8'!$V$31+'9'!V7/100*'9'!$V$31+'10'!V7/100*'10'!$V$31+'11'!V7/100*'11'!$V$31+'12'!V7/100*'12'!$V$31+'13'!V7/100*'13'!$V$31+'14'!V7/100*'14'!$V$31+'15'!V7/100*'15'!$V$31</f>
        <v>482352.99521617673</v>
      </c>
      <c r="E8" s="96">
        <f>+'6'!X7/100*'6'!$X$31+'7'!X7/100*'7'!$X$31+'8'!X7/100*'8'!$X$31+'9'!X7/100*'9'!$X$31+'10'!X7/100*'10'!$X$31+'11'!X7/100*'11'!$X$31+'12'!X7/100*'12'!$X$31+'13'!X7/100*'13'!$X$31+'14'!X7/100*'14'!$X$31+'15'!X7/100*'15'!$X$31</f>
        <v>98862</v>
      </c>
      <c r="F8" s="96">
        <f t="shared" ref="F8:F52" si="0">SUM(B8:E8)</f>
        <v>6590370.5194226364</v>
      </c>
      <c r="G8" s="94">
        <f>+'16'!$S7+'17'!$S7+'18'!$S7+'19'!$S7+'20'!$S7</f>
        <v>413309.54028723575</v>
      </c>
      <c r="H8" s="96">
        <f>+'16'!$U7/100*'16'!$U$31+'17'!$U7/100*'17'!$U$31+'18'!$U7/100*'18'!$U$31+'19'!$U7/100*'19'!$U$31+'20'!$U7/100*'20'!$U$31</f>
        <v>15602.06</v>
      </c>
      <c r="I8" s="96">
        <f>+'16'!$V7/100*'16'!$V$31+'17'!$V7/100*'17'!$V$31+'18'!$V7/100*'18'!$V$31+'19'!$V7/100*'19'!$V$31+'20'!$V7/100*'20'!$V$31</f>
        <v>0</v>
      </c>
      <c r="J8" s="96">
        <f>+'16'!$X7/100*'16'!$X$31+'17'!$X7/100*'17'!$X$31+'18'!$X7/100*'18'!$X$31+'19'!$X7/100*'19'!$X$31+'20'!$X7/100*'20'!$X$31</f>
        <v>0</v>
      </c>
      <c r="K8" s="107">
        <f t="shared" ref="K8:K52" si="1">SUM(G8:J8)</f>
        <v>428911.60028723575</v>
      </c>
      <c r="L8" s="94">
        <f>+'21'!$S7+'22'!$S7+'23'!$S7+'24'!$S7+'25'!$S7</f>
        <v>1485139.8960517514</v>
      </c>
      <c r="M8" s="96">
        <f>+'21'!$U7/100*'21'!$U$31+'22'!$U7/100*'22'!$U$31+'23'!$U7/100*'23'!$U$31+'24'!$U7/100*'24'!$U$31+'25'!$U7/100*'25'!$U$31</f>
        <v>0</v>
      </c>
      <c r="N8" s="96">
        <f>+'21'!$V7/100*'21'!$V$31+'22'!$V7/100*'22'!$V$31+'23'!$V7/100*'23'!$V$31+'24'!$V7/100*'24'!$V$31+'25'!$V7/100*'25'!$V$31</f>
        <v>406535.66828839364</v>
      </c>
      <c r="O8" s="96">
        <f>+'21'!$X7/100*'21'!$X$31+'22'!$X7/100*'22'!$X$31+'23'!$X7/100*'23'!$X$31+'24'!$X7/100*'24'!$X$31+'25'!$X7/100*'25'!$X$31</f>
        <v>0</v>
      </c>
      <c r="P8" s="107">
        <f t="shared" ref="P8:P52" si="2">SUM(L8:O8)</f>
        <v>1891675.5643401451</v>
      </c>
      <c r="Q8" s="94">
        <f>+'26'!$S7+'27'!$S7+'28'!$S7+'29'!$S7+'30'!$S7+'31'!$S7+'32'!$S7</f>
        <v>5195357.3456582818</v>
      </c>
      <c r="R8" s="96">
        <f>+'26'!$U7/100*'26'!$U$31+'27'!$U7/100*'27'!$U$31+'28'!$U7/100*'28'!$U$31+'29'!$U7/100*'29'!$U$31+'30'!$U7/100*'30'!$U$31+'31'!$U7/100*'31'!$U$31+'32'!$U7/100*'32'!$U$31</f>
        <v>68056.26999999999</v>
      </c>
      <c r="S8" s="96">
        <f>+'26'!$V7/100*'26'!$V$31+'27'!$V7/100*'27'!$V$31+'28'!$V7/100*'28'!$V$31+'29'!$V7/100*'29'!$V$31+'30'!$V7/100*'30'!$V$31+'31'!$V7/100*'31'!$V$31+'32'!$V7/100*'32'!$V$31</f>
        <v>6450.6500000000005</v>
      </c>
      <c r="T8" s="96">
        <f>+'26'!$X7/100*'26'!$X$31+'27'!$X7/100*'27'!$X$31+'28'!$X7/100*'28'!$X$31+'29'!$X7/100*'29'!$X$31+'30'!$X7/100*'30'!$X$31+'31'!$X7/100*'31'!$X$31+'32'!$X7/100*'32'!$X$31</f>
        <v>0</v>
      </c>
      <c r="U8" s="107">
        <f t="shared" ref="U8:U52" si="3">SUM(Q8:T8)</f>
        <v>5269864.2656582817</v>
      </c>
      <c r="V8" s="94">
        <f>+'33'!$S7+'34'!$S7+'35'!$S7+'36'!$S7+'37'!$S7+'38'!$S7+'39'!$S7+'40'!$S7+'41'!$S7</f>
        <v>304200.55911884754</v>
      </c>
      <c r="W8" s="96">
        <f>+'33'!$U7/100*'33'!$U$31+'34'!$U7/100*'34'!$U$31+'35'!$U7/100*'35'!$U$31+'36'!$U7/100*'36'!$U$31+'37'!$U7/100*'37'!$U$31+'38'!$U7/100*'38'!$U$31+'39'!$U7/100*'39'!$U$31+'40'!$U7/100*'40'!$U$31+'41'!$U7/100*'41'!$U$31</f>
        <v>132453.03709037107</v>
      </c>
      <c r="X8" s="96">
        <f>+'33'!$V7/100*'33'!$V$31+'34'!$V7/100*'34'!$V$31+'35'!$V7/100*'35'!$V$31+'36'!$V7/100*'36'!$V$31+'37'!$V7/100*'37'!$V$31+'38'!$V7/100*'38'!$V$31+'39'!$V7/100*'39'!$V$31+'40'!$V7/100*'40'!$V$31+'41'!$V7/100*'41'!$V$31</f>
        <v>27876.6</v>
      </c>
      <c r="Y8" s="96">
        <f>+'33'!$X7/100*'33'!$X$31+'34'!$X7/100*'34'!$X$31+'35'!$X7/100*'35'!$X$31+'36'!$X7/100*'36'!$X$31+'37'!$X7/100*'37'!$X$31+'38'!$X7/100*'38'!$X$31+'39'!$X7/100*'39'!$X$31+'40'!$X7/100*'40'!$X$31+'41'!$X7/100*'41'!$X$31</f>
        <v>0</v>
      </c>
      <c r="Z8" s="97">
        <f t="shared" ref="Z8:Z52" si="4">SUM(V8:X8)</f>
        <v>464530.19620921859</v>
      </c>
      <c r="AA8" s="94">
        <f>'42'!$S7+'43'!$S7+'44'!$S7+'45'!$S7</f>
        <v>7414.3099999999995</v>
      </c>
      <c r="AB8" s="96">
        <f>'42'!$U7/100*'42'!$U$31+'43'!$U7/100*'43'!$U$31+'44'!$U7/100*'44'!$U$31+'45'!$U7/100*'45'!$U$31</f>
        <v>0</v>
      </c>
      <c r="AC8" s="96">
        <f>'42'!$V7/100*'42'!$V$31+'43'!$V7/100*'43'!$V$31+'44'!$V7/100*'44'!$V$31+'45'!$V7/100*'45'!$V$31</f>
        <v>0</v>
      </c>
      <c r="AD8" s="96">
        <f>'42'!$X7/100*'42'!$X$31+'43'!$X7/100*'43'!$X$31+'44'!$X7/100*'44'!$X$31+'45'!$X7/100*'45'!$X$31</f>
        <v>0</v>
      </c>
      <c r="AE8" s="97">
        <f t="shared" ref="AE8:AE52" si="5">SUM(AA8:AC8)</f>
        <v>7414.3099999999995</v>
      </c>
    </row>
    <row r="9" spans="1:31" x14ac:dyDescent="0.25">
      <c r="A9" s="70"/>
      <c r="F9" s="96"/>
      <c r="G9" s="66"/>
      <c r="H9" s="10"/>
      <c r="K9" s="107"/>
      <c r="P9" s="107"/>
      <c r="U9" s="107"/>
      <c r="Z9" s="97"/>
      <c r="AA9" s="79"/>
      <c r="AB9" s="79"/>
      <c r="AC9" s="79"/>
      <c r="AD9" s="79"/>
      <c r="AE9" s="97"/>
    </row>
    <row r="10" spans="1:31" x14ac:dyDescent="0.25">
      <c r="A10" s="70" t="s">
        <v>28</v>
      </c>
      <c r="B10" s="94">
        <f>+'6'!S8+'7'!S8+'8'!S8+'9'!S8+'10'!S8+'11'!S8+'12'!S8+'13'!S8+'14'!S8+'15'!S8</f>
        <v>4661391.1966942232</v>
      </c>
      <c r="C10" s="96">
        <f>+'6'!U8/100*'6'!$U$31+'7'!U8/100*'7'!$U$31+'8'!U8/100*'8'!$U$31+'9'!U8/100*'9'!$U$31+'10'!U8/100*'10'!$U$31+'11'!U8/100*'11'!$U$31+'12'!U8/100*'12'!$U$31+'13'!U8/100*'13'!$U$31+'14'!U8/100*'14'!$U$31+'15'!U8/100*'15'!$U$31</f>
        <v>177995.02411482748</v>
      </c>
      <c r="D10" s="96">
        <f>+'6'!V8/100*'6'!$V$31+'7'!V8/100*'7'!$V$31+'8'!V8/100*'8'!$V$31+'9'!V8/100*'9'!$V$31+'10'!V8/100*'10'!$V$31+'11'!V8/100*'11'!$V$31+'12'!V8/100*'12'!$V$31+'13'!V8/100*'13'!$V$31+'14'!V8/100*'14'!$V$31+'15'!V8/100*'15'!$V$31</f>
        <v>96470.599043235357</v>
      </c>
      <c r="E10" s="96">
        <f>+'6'!X8/100*'6'!$X$31+'7'!X8/100*'7'!$X$31+'8'!X8/100*'8'!$X$31+'9'!X8/100*'9'!$X$31+'10'!X8/100*'10'!$X$31+'11'!X8/100*'11'!$X$31+'12'!X8/100*'12'!$X$31+'13'!X8/100*'13'!$X$31+'14'!X8/100*'14'!$X$31+'15'!X8/100*'15'!$X$31</f>
        <v>107118</v>
      </c>
      <c r="F10" s="96">
        <f t="shared" si="0"/>
        <v>5042974.819852286</v>
      </c>
      <c r="G10" s="94">
        <f>+'16'!$S8+'17'!$S8+'18'!$S8+'19'!$S8+'20'!$S8</f>
        <v>3415432.9561606483</v>
      </c>
      <c r="H10" s="96">
        <f>+'16'!$U8/100*'16'!$U$31+'17'!$U8/100*'17'!$U$31+'18'!$U8/100*'18'!$U$31+'19'!$U8/100*'19'!$U$31+'20'!$U8/100*'20'!$U$31</f>
        <v>98269.88</v>
      </c>
      <c r="I10" s="96">
        <f>+'16'!$V8/100*'16'!$V$31+'17'!$V8/100*'17'!$V$31+'18'!$V8/100*'18'!$V$31+'19'!$V8/100*'19'!$V$31+'20'!$V8/100*'20'!$V$31</f>
        <v>0</v>
      </c>
      <c r="J10" s="96">
        <f>+'16'!$X8/100*'16'!$X$31+'17'!$X8/100*'17'!$X$31+'18'!$X8/100*'18'!$X$31+'19'!$X8/100*'19'!$X$31+'20'!$X8/100*'20'!$X$31</f>
        <v>0</v>
      </c>
      <c r="K10" s="107">
        <f t="shared" si="1"/>
        <v>3513702.8361606481</v>
      </c>
      <c r="L10" s="94">
        <f>+'21'!$S8+'22'!$S8+'23'!$S8+'24'!$S8+'25'!$S8</f>
        <v>714944.56245762156</v>
      </c>
      <c r="M10" s="96">
        <f>+'21'!$U8/100*'21'!$U$31+'22'!$U8/100*'22'!$U$31+'23'!$U8/100*'23'!$U$31+'24'!$U8/100*'24'!$U$31+'25'!$U8/100*'25'!$U$31</f>
        <v>0</v>
      </c>
      <c r="N10" s="96">
        <f>+'21'!$V8/100*'21'!$V$31+'22'!$V8/100*'22'!$V$31+'23'!$V8/100*'23'!$V$31+'24'!$V8/100*'24'!$V$31+'25'!$V8/100*'25'!$V$31</f>
        <v>92555.244999999995</v>
      </c>
      <c r="O10" s="96">
        <f>+'21'!$X8/100*'21'!$X$31+'22'!$X8/100*'22'!$X$31+'23'!$X8/100*'23'!$X$31+'24'!$X8/100*'24'!$X$31+'25'!$X8/100*'25'!$X$31</f>
        <v>0</v>
      </c>
      <c r="P10" s="107">
        <f t="shared" si="2"/>
        <v>807499.80745762156</v>
      </c>
      <c r="Q10" s="94">
        <f>+'26'!$S8+'27'!$S8+'28'!$S8+'29'!$S8+'30'!$S8+'31'!$S8+'32'!$S8</f>
        <v>2782130.8779941639</v>
      </c>
      <c r="R10" s="96">
        <f>+'26'!$U8/100*'26'!$U$31+'27'!$U8/100*'27'!$U$31+'28'!$U8/100*'28'!$U$31+'29'!$U8/100*'29'!$U$31+'30'!$U8/100*'30'!$U$31+'31'!$U8/100*'31'!$U$31+'32'!$U8/100*'32'!$U$31</f>
        <v>74249.16</v>
      </c>
      <c r="S10" s="96">
        <f>+'26'!$V8/100*'26'!$V$31+'27'!$V8/100*'27'!$V$31+'28'!$V8/100*'28'!$V$31+'29'!$V8/100*'29'!$V$31+'30'!$V8/100*'30'!$V$31+'31'!$V8/100*'31'!$V$31+'32'!$V8/100*'32'!$V$31</f>
        <v>0</v>
      </c>
      <c r="T10" s="96">
        <f>+'26'!$X8/100*'26'!$X$31+'27'!$X8/100*'27'!$X$31+'28'!$X8/100*'28'!$X$31+'29'!$X8/100*'29'!$X$31+'30'!$X8/100*'30'!$X$31+'31'!$X8/100*'31'!$X$31+'32'!$X8/100*'32'!$X$31</f>
        <v>0</v>
      </c>
      <c r="U10" s="107">
        <f t="shared" si="3"/>
        <v>2856380.037994164</v>
      </c>
      <c r="V10" s="94">
        <f>+'33'!$S8+'34'!$S8+'35'!$S8+'36'!$S8+'37'!$S8+'38'!$S8+'39'!$S8+'40'!$S8+'41'!$S8</f>
        <v>601142.63000000012</v>
      </c>
      <c r="W10" s="96">
        <f>+'33'!$U8/100*'33'!$U$31+'34'!$U8/100*'34'!$U$31+'35'!$U8/100*'35'!$U$31+'36'!$U8/100*'36'!$U$31+'37'!$U8/100*'37'!$U$31+'38'!$U8/100*'38'!$U$31+'39'!$U8/100*'39'!$U$31+'40'!$U8/100*'40'!$U$31+'41'!$U8/100*'41'!$U$31</f>
        <v>24574.68</v>
      </c>
      <c r="X10" s="96">
        <f>+'33'!$V8/100*'33'!$V$31+'34'!$V8/100*'34'!$V$31+'35'!$V8/100*'35'!$V$31+'36'!$V8/100*'36'!$V$31+'37'!$V8/100*'37'!$V$31+'38'!$V8/100*'38'!$V$31+'39'!$V8/100*'39'!$V$31+'40'!$V8/100*'40'!$V$31+'41'!$V8/100*'41'!$V$31</f>
        <v>19221.47</v>
      </c>
      <c r="Y10" s="96">
        <f>+'33'!$X8/100*'33'!$X$31+'34'!$X8/100*'34'!$X$31+'35'!$X8/100*'35'!$X$31+'36'!$X8/100*'36'!$X$31+'37'!$X8/100*'37'!$X$31+'38'!$X8/100*'38'!$X$31+'39'!$X8/100*'39'!$X$31+'40'!$X8/100*'40'!$X$31+'41'!$X8/100*'41'!$X$31</f>
        <v>0</v>
      </c>
      <c r="Z10" s="97">
        <f t="shared" si="4"/>
        <v>644938.78000000014</v>
      </c>
      <c r="AA10" s="94">
        <f>'42'!$S8+'43'!$S8+'44'!$S8+'45'!$S8</f>
        <v>285764.5</v>
      </c>
      <c r="AB10" s="96">
        <f>'42'!$U8/100*'42'!$U$31+'43'!$U8/100*'43'!$U$31+'44'!$U8/100*'44'!$U$31+'45'!$U8/100*'45'!$U$31</f>
        <v>32190.157099644464</v>
      </c>
      <c r="AC10" s="96">
        <f>'42'!$V8/100*'42'!$V$31+'43'!$V8/100*'43'!$V$31+'44'!$V8/100*'44'!$V$31+'45'!$V8/100*'45'!$V$31</f>
        <v>1063.42</v>
      </c>
      <c r="AD10" s="96">
        <f>'42'!$X8/100*'42'!$X$31+'43'!$X8/100*'43'!$X$31+'44'!$X8/100*'44'!$X$31+'45'!$X8/100*'45'!$X$31</f>
        <v>24289</v>
      </c>
      <c r="AE10" s="97">
        <f t="shared" si="5"/>
        <v>319018.07709964446</v>
      </c>
    </row>
    <row r="11" spans="1:31" x14ac:dyDescent="0.25">
      <c r="A11" s="70"/>
      <c r="F11" s="96"/>
      <c r="G11" s="66"/>
      <c r="H11" s="10"/>
      <c r="K11" s="107"/>
      <c r="P11" s="107"/>
      <c r="U11" s="107"/>
      <c r="Z11" s="97"/>
      <c r="AA11" s="79"/>
      <c r="AB11" s="79"/>
      <c r="AC11" s="79"/>
      <c r="AD11" s="79"/>
      <c r="AE11" s="97"/>
    </row>
    <row r="12" spans="1:31" x14ac:dyDescent="0.25">
      <c r="A12" s="70" t="s">
        <v>29</v>
      </c>
      <c r="B12" s="94">
        <f>+'6'!S9+'7'!S9+'8'!S9+'9'!S9+'10'!S9+'11'!S9+'12'!S9+'13'!S9+'14'!S9+'15'!S9</f>
        <v>3451651.2808209993</v>
      </c>
      <c r="C12" s="96">
        <f>+'6'!U9/100*'6'!$U$31+'7'!U9/100*'7'!$U$31+'8'!U9/100*'8'!$U$31+'9'!U9/100*'9'!$U$31+'10'!U9/100*'10'!$U$31+'11'!U9/100*'11'!$U$31+'12'!U9/100*'12'!$U$31+'13'!U9/100*'13'!$U$31+'14'!U9/100*'14'!$U$31+'15'!U9/100*'15'!$U$31</f>
        <v>84546.862109414928</v>
      </c>
      <c r="D12" s="96">
        <f>+'6'!V9/100*'6'!$V$31+'7'!V9/100*'7'!$V$31+'8'!V9/100*'8'!$V$31+'9'!V9/100*'9'!$V$31+'10'!V9/100*'10'!$V$31+'11'!V9/100*'11'!$V$31+'12'!V9/100*'12'!$V$31+'13'!V9/100*'13'!$V$31+'14'!V9/100*'14'!$V$31+'15'!V9/100*'15'!$V$31</f>
        <v>0</v>
      </c>
      <c r="E12" s="96">
        <f>+'6'!X9/100*'6'!$X$31+'7'!X9/100*'7'!$X$31+'8'!X9/100*'8'!$X$31+'9'!X9/100*'9'!$X$31+'10'!X9/100*'10'!$X$31+'11'!X9/100*'11'!$X$31+'12'!X9/100*'12'!$X$31+'13'!X9/100*'13'!$X$31+'14'!X9/100*'14'!$X$31+'15'!X9/100*'15'!$X$31</f>
        <v>0</v>
      </c>
      <c r="F12" s="96">
        <f t="shared" si="0"/>
        <v>3536198.1429304141</v>
      </c>
      <c r="G12" s="94">
        <f>+'16'!$S9+'17'!$S9+'18'!$S9+'19'!$S9+'20'!$S9</f>
        <v>0</v>
      </c>
      <c r="H12" s="96">
        <f>+'16'!$U9/100*'16'!$U$31+'17'!$U9/100*'17'!$U$31+'18'!$U9/100*'18'!$U$31+'19'!$U9/100*'19'!$U$31+'20'!$U9/100*'20'!$U$31</f>
        <v>0</v>
      </c>
      <c r="I12" s="96">
        <f>+'16'!$V9/100*'16'!$V$31+'17'!$V9/100*'17'!$V$31+'18'!$V9/100*'18'!$V$31+'19'!$V9/100*'19'!$V$31+'20'!$V9/100*'20'!$V$31</f>
        <v>0</v>
      </c>
      <c r="J12" s="96">
        <f>+'16'!$X9/100*'16'!$X$31+'17'!$X9/100*'17'!$X$31+'18'!$X9/100*'18'!$X$31+'19'!$X9/100*'19'!$X$31+'20'!$X9/100*'20'!$X$31</f>
        <v>0</v>
      </c>
      <c r="K12" s="107">
        <f t="shared" si="1"/>
        <v>0</v>
      </c>
      <c r="L12" s="94">
        <f>+'21'!$S9+'22'!$S9+'23'!$S9+'24'!$S9+'25'!$S9</f>
        <v>953054.25215244293</v>
      </c>
      <c r="M12" s="96">
        <f>+'21'!$U9/100*'21'!$U$31+'22'!$U9/100*'22'!$U$31+'23'!$U9/100*'23'!$U$31+'24'!$U9/100*'24'!$U$31+'25'!$U9/100*'25'!$U$31</f>
        <v>0</v>
      </c>
      <c r="N12" s="96">
        <f>+'21'!$V9/100*'21'!$V$31+'22'!$V9/100*'22'!$V$31+'23'!$V9/100*'23'!$V$31+'24'!$V9/100*'24'!$V$31+'25'!$V9/100*'25'!$V$31</f>
        <v>106099.91499999999</v>
      </c>
      <c r="O12" s="96">
        <f>+'21'!$X9/100*'21'!$X$31+'22'!$X9/100*'22'!$X$31+'23'!$X9/100*'23'!$X$31+'24'!$X9/100*'24'!$X$31+'25'!$X9/100*'25'!$X$31</f>
        <v>0</v>
      </c>
      <c r="P12" s="107">
        <f t="shared" si="2"/>
        <v>1059154.167152443</v>
      </c>
      <c r="Q12" s="94">
        <f>+'26'!$S9+'27'!$S9+'28'!$S9+'29'!$S9+'30'!$S9+'31'!$S9+'32'!$S9</f>
        <v>0</v>
      </c>
      <c r="R12" s="96">
        <f>+'26'!$U9/100*'26'!$U$31+'27'!$U9/100*'27'!$U$31+'28'!$U9/100*'28'!$U$31+'29'!$U9/100*'29'!$U$31+'30'!$U9/100*'30'!$U$31+'31'!$U9/100*'31'!$U$31+'32'!$U9/100*'32'!$U$31</f>
        <v>0</v>
      </c>
      <c r="S12" s="96">
        <f>+'26'!$V9/100*'26'!$V$31+'27'!$V9/100*'27'!$V$31+'28'!$V9/100*'28'!$V$31+'29'!$V9/100*'29'!$V$31+'30'!$V9/100*'30'!$V$31+'31'!$V9/100*'31'!$V$31+'32'!$V9/100*'32'!$V$31</f>
        <v>0</v>
      </c>
      <c r="T12" s="96">
        <f>+'26'!$X9/100*'26'!$X$31+'27'!$X9/100*'27'!$X$31+'28'!$X9/100*'28'!$X$31+'29'!$X9/100*'29'!$X$31+'30'!$X9/100*'30'!$X$31+'31'!$X9/100*'31'!$X$31+'32'!$X9/100*'32'!$X$31</f>
        <v>0</v>
      </c>
      <c r="U12" s="107">
        <f t="shared" si="3"/>
        <v>0</v>
      </c>
      <c r="V12" s="94">
        <f>+'33'!$S9+'34'!$S9+'35'!$S9+'36'!$S9+'37'!$S9+'38'!$S9+'39'!$S9+'40'!$S9+'41'!$S9</f>
        <v>0</v>
      </c>
      <c r="W12" s="96">
        <f>+'33'!$U9/100*'33'!$U$31+'34'!$U9/100*'34'!$U$31+'35'!$U9/100*'35'!$U$31+'36'!$U9/100*'36'!$U$31+'37'!$U9/100*'37'!$U$31+'38'!$U9/100*'38'!$U$31+'39'!$U9/100*'39'!$U$31+'40'!$U9/100*'40'!$U$31+'41'!$U9/100*'41'!$U$31</f>
        <v>0</v>
      </c>
      <c r="X12" s="96">
        <f>+'33'!$V9/100*'33'!$V$31+'34'!$V9/100*'34'!$V$31+'35'!$V9/100*'35'!$V$31+'36'!$V9/100*'36'!$V$31+'37'!$V9/100*'37'!$V$31+'38'!$V9/100*'38'!$V$31+'39'!$V9/100*'39'!$V$31+'40'!$V9/100*'40'!$V$31+'41'!$V9/100*'41'!$V$31</f>
        <v>0</v>
      </c>
      <c r="Y12" s="96">
        <f>+'33'!$X9/100*'33'!$X$31+'34'!$X9/100*'34'!$X$31+'35'!$X9/100*'35'!$X$31+'36'!$X9/100*'36'!$X$31+'37'!$X9/100*'37'!$X$31+'38'!$X9/100*'38'!$X$31+'39'!$X9/100*'39'!$X$31+'40'!$X9/100*'40'!$X$31+'41'!$X9/100*'41'!$X$31</f>
        <v>0</v>
      </c>
      <c r="Z12" s="97">
        <f t="shared" si="4"/>
        <v>0</v>
      </c>
      <c r="AA12" s="94">
        <f>'42'!$S9+'43'!$S9+'44'!$S9+'45'!$S9</f>
        <v>0</v>
      </c>
      <c r="AB12" s="96">
        <f>'42'!$U9/100*'42'!$U$31+'43'!$U9/100*'43'!$U$31+'44'!$U9/100*'44'!$U$31+'45'!$U9/100*'45'!$U$31</f>
        <v>0</v>
      </c>
      <c r="AC12" s="96">
        <f>'42'!$V9/100*'42'!$V$31+'43'!$V9/100*'43'!$V$31+'44'!$V9/100*'44'!$V$31+'45'!$V9/100*'45'!$V$31</f>
        <v>0</v>
      </c>
      <c r="AD12" s="96">
        <f>'42'!$X9/100*'42'!$X$31+'43'!$X9/100*'43'!$X$31+'44'!$X9/100*'44'!$X$31+'45'!$X9/100*'45'!$X$31</f>
        <v>0</v>
      </c>
      <c r="AE12" s="97">
        <f t="shared" si="5"/>
        <v>0</v>
      </c>
    </row>
    <row r="13" spans="1:31" x14ac:dyDescent="0.25">
      <c r="A13" s="70"/>
      <c r="F13" s="96"/>
      <c r="G13" s="66"/>
      <c r="H13" s="10"/>
      <c r="K13" s="107"/>
      <c r="P13" s="107"/>
      <c r="U13" s="107"/>
      <c r="Z13" s="97"/>
      <c r="AA13" s="79"/>
      <c r="AB13" s="79"/>
      <c r="AC13" s="79"/>
      <c r="AD13" s="79"/>
      <c r="AE13" s="97"/>
    </row>
    <row r="14" spans="1:31" x14ac:dyDescent="0.25">
      <c r="A14" s="70" t="s">
        <v>30</v>
      </c>
      <c r="B14" s="94">
        <f>+'6'!S10+'7'!S10+'8'!S10+'9'!S10+'10'!S10+'11'!S10+'12'!S10+'13'!S10+'14'!S10+'15'!S10</f>
        <v>427835.17508190888</v>
      </c>
      <c r="C14" s="96">
        <f>+'6'!U10/100*'6'!$U$31+'7'!U10/100*'7'!$U$31+'8'!U10/100*'8'!$U$31+'9'!U10/100*'9'!$U$31+'10'!U10/100*'10'!$U$31+'11'!U10/100*'11'!$U$31+'12'!U10/100*'12'!$U$31+'13'!U10/100*'13'!$U$31+'14'!U10/100*'14'!$U$31+'15'!U10/100*'15'!$U$31</f>
        <v>0</v>
      </c>
      <c r="D14" s="96">
        <f>+'6'!V10/100*'6'!$V$31+'7'!V10/100*'7'!$V$31+'8'!V10/100*'8'!$V$31+'9'!V10/100*'9'!$V$31+'10'!V10/100*'10'!$V$31+'11'!V10/100*'11'!$V$31+'12'!V10/100*'12'!$V$31+'13'!V10/100*'13'!$V$31+'14'!V10/100*'14'!$V$31+'15'!V10/100*'15'!$V$31</f>
        <v>192941.19808647071</v>
      </c>
      <c r="E14" s="96">
        <f>+'6'!X10/100*'6'!$X$31+'7'!X10/100*'7'!$X$31+'8'!X10/100*'8'!$X$31+'9'!X10/100*'9'!$X$31+'10'!X10/100*'10'!$X$31+'11'!X10/100*'11'!$X$31+'12'!X10/100*'12'!$X$31+'13'!X10/100*'13'!$X$31+'14'!X10/100*'14'!$X$31+'15'!X10/100*'15'!$X$31</f>
        <v>0</v>
      </c>
      <c r="F14" s="96">
        <f t="shared" si="0"/>
        <v>620776.37316837953</v>
      </c>
      <c r="G14" s="94">
        <f>+'16'!$S10+'17'!$S10+'18'!$S10+'19'!$S10+'20'!$S10</f>
        <v>0</v>
      </c>
      <c r="H14" s="96">
        <f>+'16'!$U10/100*'16'!$U$31+'17'!$U10/100*'17'!$U$31+'18'!$U10/100*'18'!$U$31+'19'!$U10/100*'19'!$U$31+'20'!$U10/100*'20'!$U$31</f>
        <v>0</v>
      </c>
      <c r="I14" s="96">
        <f>+'16'!$V10/100*'16'!$V$31+'17'!$V10/100*'17'!$V$31+'18'!$V10/100*'18'!$V$31+'19'!$V10/100*'19'!$V$31+'20'!$V10/100*'20'!$V$31</f>
        <v>0</v>
      </c>
      <c r="J14" s="96">
        <f>+'16'!$X10/100*'16'!$X$31+'17'!$X10/100*'17'!$X$31+'18'!$X10/100*'18'!$X$31+'19'!$X10/100*'19'!$X$31+'20'!$X10/100*'20'!$X$31</f>
        <v>0</v>
      </c>
      <c r="K14" s="107">
        <f t="shared" si="1"/>
        <v>0</v>
      </c>
      <c r="L14" s="94">
        <f>+'21'!$S10+'22'!$S10+'23'!$S10+'24'!$S10+'25'!$S10</f>
        <v>1578305.3956738315</v>
      </c>
      <c r="M14" s="96">
        <f>+'21'!$U10/100*'21'!$U$31+'22'!$U10/100*'22'!$U$31+'23'!$U10/100*'23'!$U$31+'24'!$U10/100*'24'!$U$31+'25'!$U10/100*'25'!$U$31</f>
        <v>0</v>
      </c>
      <c r="N14" s="96">
        <f>+'21'!$V10/100*'21'!$V$31+'22'!$V10/100*'22'!$V$31+'23'!$V10/100*'23'!$V$31+'24'!$V10/100*'24'!$V$31+'25'!$V10/100*'25'!$V$31</f>
        <v>96377.884978910792</v>
      </c>
      <c r="O14" s="96">
        <f>+'21'!$X10/100*'21'!$X$31+'22'!$X10/100*'22'!$X$31+'23'!$X10/100*'23'!$X$31+'24'!$X10/100*'24'!$X$31+'25'!$X10/100*'25'!$X$31</f>
        <v>0</v>
      </c>
      <c r="P14" s="107">
        <f t="shared" si="2"/>
        <v>1674683.2806527424</v>
      </c>
      <c r="Q14" s="94">
        <f>+'26'!$S10+'27'!$S10+'28'!$S10+'29'!$S10+'30'!$S10+'31'!$S10+'32'!$S10</f>
        <v>0</v>
      </c>
      <c r="R14" s="96">
        <f>+'26'!$U10/100*'26'!$U$31+'27'!$U10/100*'27'!$U$31+'28'!$U10/100*'28'!$U$31+'29'!$U10/100*'29'!$U$31+'30'!$U10/100*'30'!$U$31+'31'!$U10/100*'31'!$U$31+'32'!$U10/100*'32'!$U$31</f>
        <v>0</v>
      </c>
      <c r="S14" s="96">
        <f>+'26'!$V10/100*'26'!$V$31+'27'!$V10/100*'27'!$V$31+'28'!$V10/100*'28'!$V$31+'29'!$V10/100*'29'!$V$31+'30'!$V10/100*'30'!$V$31+'31'!$V10/100*'31'!$V$31+'32'!$V10/100*'32'!$V$31</f>
        <v>0</v>
      </c>
      <c r="T14" s="96">
        <f>+'26'!$X10/100*'26'!$X$31+'27'!$X10/100*'27'!$X$31+'28'!$X10/100*'28'!$X$31+'29'!$X10/100*'29'!$X$31+'30'!$X10/100*'30'!$X$31+'31'!$X10/100*'31'!$X$31+'32'!$X10/100*'32'!$X$31</f>
        <v>0</v>
      </c>
      <c r="U14" s="107">
        <f t="shared" si="3"/>
        <v>0</v>
      </c>
      <c r="V14" s="94">
        <f>+'33'!$S10+'34'!$S10+'35'!$S10+'36'!$S10+'37'!$S10+'38'!$S10+'39'!$S10+'40'!$S10+'41'!$S10</f>
        <v>0</v>
      </c>
      <c r="W14" s="96">
        <f>+'33'!$U10/100*'33'!$U$31+'34'!$U10/100*'34'!$U$31+'35'!$U10/100*'35'!$U$31+'36'!$U10/100*'36'!$U$31+'37'!$U10/100*'37'!$U$31+'38'!$U10/100*'38'!$U$31+'39'!$U10/100*'39'!$U$31+'40'!$U10/100*'40'!$U$31+'41'!$U10/100*'41'!$U$31</f>
        <v>0</v>
      </c>
      <c r="X14" s="96">
        <f>+'33'!$V10/100*'33'!$V$31+'34'!$V10/100*'34'!$V$31+'35'!$V10/100*'35'!$V$31+'36'!$V10/100*'36'!$V$31+'37'!$V10/100*'37'!$V$31+'38'!$V10/100*'38'!$V$31+'39'!$V10/100*'39'!$V$31+'40'!$V10/100*'40'!$V$31+'41'!$V10/100*'41'!$V$31</f>
        <v>0</v>
      </c>
      <c r="Y14" s="96">
        <f>+'33'!$X10/100*'33'!$X$31+'34'!$X10/100*'34'!$X$31+'35'!$X10/100*'35'!$X$31+'36'!$X10/100*'36'!$X$31+'37'!$X10/100*'37'!$X$31+'38'!$X10/100*'38'!$X$31+'39'!$X10/100*'39'!$X$31+'40'!$X10/100*'40'!$X$31+'41'!$X10/100*'41'!$X$31</f>
        <v>0</v>
      </c>
      <c r="Z14" s="97">
        <f t="shared" si="4"/>
        <v>0</v>
      </c>
      <c r="AA14" s="94">
        <f>'42'!$S10+'43'!$S10+'44'!$S10+'45'!$S10</f>
        <v>0</v>
      </c>
      <c r="AB14" s="96">
        <f>'42'!$U10/100*'42'!$U$31+'43'!$U10/100*'43'!$U$31+'44'!$U10/100*'44'!$U$31+'45'!$U10/100*'45'!$U$31</f>
        <v>0</v>
      </c>
      <c r="AC14" s="96">
        <f>'42'!$V10/100*'42'!$V$31+'43'!$V10/100*'43'!$V$31+'44'!$V10/100*'44'!$V$31+'45'!$V10/100*'45'!$V$31</f>
        <v>0</v>
      </c>
      <c r="AD14" s="96">
        <f>'42'!$X10/100*'42'!$X$31+'43'!$X10/100*'43'!$X$31+'44'!$X10/100*'44'!$X$31+'45'!$X10/100*'45'!$X$31</f>
        <v>0</v>
      </c>
      <c r="AE14" s="97">
        <f t="shared" si="5"/>
        <v>0</v>
      </c>
    </row>
    <row r="15" spans="1:31" x14ac:dyDescent="0.25">
      <c r="A15" s="70"/>
      <c r="F15" s="96"/>
      <c r="G15" s="66"/>
      <c r="H15" s="10"/>
      <c r="K15" s="107"/>
      <c r="P15" s="107"/>
      <c r="U15" s="107"/>
      <c r="Z15" s="97"/>
      <c r="AA15" s="79"/>
      <c r="AB15" s="79"/>
      <c r="AC15" s="79"/>
      <c r="AD15" s="79"/>
      <c r="AE15" s="97"/>
    </row>
    <row r="16" spans="1:31" x14ac:dyDescent="0.25">
      <c r="A16" s="70" t="s">
        <v>31</v>
      </c>
      <c r="B16" s="94">
        <f>+'6'!S11+'7'!S11+'8'!S11+'9'!S11+'10'!S11+'11'!S11+'12'!S11+'13'!S11+'14'!S11+'15'!S11</f>
        <v>188664.5673568073</v>
      </c>
      <c r="C16" s="96">
        <f>+'6'!U11/100*'6'!$U$31+'7'!U11/100*'7'!$U$31+'8'!U11/100*'8'!$U$31+'9'!U11/100*'9'!$U$31+'10'!U11/100*'10'!$U$31+'11'!U11/100*'11'!$U$31+'12'!U11/100*'12'!$U$31+'13'!U11/100*'13'!$U$31+'14'!U11/100*'14'!$U$31+'15'!U11/100*'15'!$U$31</f>
        <v>0</v>
      </c>
      <c r="D16" s="96">
        <f>+'6'!V11/100*'6'!$V$31+'7'!V11/100*'7'!$V$31+'8'!V11/100*'8'!$V$31+'9'!V11/100*'9'!$V$31+'10'!V11/100*'10'!$V$31+'11'!V11/100*'11'!$V$31+'12'!V11/100*'12'!$V$31+'13'!V11/100*'13'!$V$31+'14'!V11/100*'14'!$V$31+'15'!V11/100*'15'!$V$31</f>
        <v>0</v>
      </c>
      <c r="E16" s="96">
        <f>+'6'!X11/100*'6'!$X$31+'7'!X11/100*'7'!$X$31+'8'!X11/100*'8'!$X$31+'9'!X11/100*'9'!$X$31+'10'!X11/100*'10'!$X$31+'11'!X11/100*'11'!$X$31+'12'!X11/100*'12'!$X$31+'13'!X11/100*'13'!$X$31+'14'!X11/100*'14'!$X$31+'15'!X11/100*'15'!$X$31</f>
        <v>0</v>
      </c>
      <c r="F16" s="96">
        <f t="shared" si="0"/>
        <v>188664.5673568073</v>
      </c>
      <c r="G16" s="94">
        <f>+'16'!$S11+'17'!$S11+'18'!$S11+'19'!$S11+'20'!$S11</f>
        <v>0</v>
      </c>
      <c r="H16" s="96">
        <f>+'16'!$U11/100*'16'!$U$31+'17'!$U11/100*'17'!$U$31+'18'!$U11/100*'18'!$U$31+'19'!$U11/100*'19'!$U$31+'20'!$U11/100*'20'!$U$31</f>
        <v>0</v>
      </c>
      <c r="I16" s="96">
        <f>+'16'!$V11/100*'16'!$V$31+'17'!$V11/100*'17'!$V$31+'18'!$V11/100*'18'!$V$31+'19'!$V11/100*'19'!$V$31+'20'!$V11/100*'20'!$V$31</f>
        <v>0</v>
      </c>
      <c r="J16" s="96">
        <f>+'16'!$X11/100*'16'!$X$31+'17'!$X11/100*'17'!$X$31+'18'!$X11/100*'18'!$X$31+'19'!$X11/100*'19'!$X$31+'20'!$X11/100*'20'!$X$31</f>
        <v>0</v>
      </c>
      <c r="K16" s="107">
        <f t="shared" si="1"/>
        <v>0</v>
      </c>
      <c r="L16" s="94">
        <f>+'21'!$S11+'22'!$S11+'23'!$S11+'24'!$S11+'25'!$S11</f>
        <v>0</v>
      </c>
      <c r="M16" s="96">
        <f>+'21'!$U11/100*'21'!$U$31+'22'!$U11/100*'22'!$U$31+'23'!$U11/100*'23'!$U$31+'24'!$U11/100*'24'!$U$31+'25'!$U11/100*'25'!$U$31</f>
        <v>0</v>
      </c>
      <c r="N16" s="96">
        <f>+'21'!$V11/100*'21'!$V$31+'22'!$V11/100*'22'!$V$31+'23'!$V11/100*'23'!$V$31+'24'!$V11/100*'24'!$V$31+'25'!$V11/100*'25'!$V$31</f>
        <v>0</v>
      </c>
      <c r="O16" s="96">
        <f>+'21'!$X11/100*'21'!$X$31+'22'!$X11/100*'22'!$X$31+'23'!$X11/100*'23'!$X$31+'24'!$X11/100*'24'!$X$31+'25'!$X11/100*'25'!$X$31</f>
        <v>0</v>
      </c>
      <c r="P16" s="107">
        <f t="shared" si="2"/>
        <v>0</v>
      </c>
      <c r="Q16" s="94">
        <f>+'26'!$S11+'27'!$S11+'28'!$S11+'29'!$S11+'30'!$S11+'31'!$S11+'32'!$S11</f>
        <v>3697683.2017876552</v>
      </c>
      <c r="R16" s="96">
        <f>+'26'!$U11/100*'26'!$U$31+'27'!$U11/100*'27'!$U$31+'28'!$U11/100*'28'!$U$31+'29'!$U11/100*'29'!$U$31+'30'!$U11/100*'30'!$U$31+'31'!$U11/100*'31'!$U$31+'32'!$U11/100*'32'!$U$31</f>
        <v>0</v>
      </c>
      <c r="S16" s="96">
        <f>+'26'!$V11/100*'26'!$V$31+'27'!$V11/100*'27'!$V$31+'28'!$V11/100*'28'!$V$31+'29'!$V11/100*'29'!$V$31+'30'!$V11/100*'30'!$V$31+'31'!$V11/100*'31'!$V$31+'32'!$V11/100*'32'!$V$31</f>
        <v>0</v>
      </c>
      <c r="T16" s="96">
        <f>+'26'!$X11/100*'26'!$X$31+'27'!$X11/100*'27'!$X$31+'28'!$X11/100*'28'!$X$31+'29'!$X11/100*'29'!$X$31+'30'!$X11/100*'30'!$X$31+'31'!$X11/100*'31'!$X$31+'32'!$X11/100*'32'!$X$31</f>
        <v>0</v>
      </c>
      <c r="U16" s="107">
        <f t="shared" si="3"/>
        <v>3697683.2017876552</v>
      </c>
      <c r="V16" s="94">
        <f>+'33'!$S11+'34'!$S11+'35'!$S11+'36'!$S11+'37'!$S11+'38'!$S11+'39'!$S11+'40'!$S11+'41'!$S11</f>
        <v>0</v>
      </c>
      <c r="W16" s="96">
        <f>+'33'!$U11/100*'33'!$U$31+'34'!$U11/100*'34'!$U$31+'35'!$U11/100*'35'!$U$31+'36'!$U11/100*'36'!$U$31+'37'!$U11/100*'37'!$U$31+'38'!$U11/100*'38'!$U$31+'39'!$U11/100*'39'!$U$31+'40'!$U11/100*'40'!$U$31+'41'!$U11/100*'41'!$U$31</f>
        <v>8191.56</v>
      </c>
      <c r="X16" s="96">
        <f>+'33'!$V11/100*'33'!$V$31+'34'!$V11/100*'34'!$V$31+'35'!$V11/100*'35'!$V$31+'36'!$V11/100*'36'!$V$31+'37'!$V11/100*'37'!$V$31+'38'!$V11/100*'38'!$V$31+'39'!$V11/100*'39'!$V$31+'40'!$V11/100*'40'!$V$31+'41'!$V11/100*'41'!$V$31</f>
        <v>0</v>
      </c>
      <c r="Y16" s="96">
        <f>+'33'!$X11/100*'33'!$X$31+'34'!$X11/100*'34'!$X$31+'35'!$X11/100*'35'!$X$31+'36'!$X11/100*'36'!$X$31+'37'!$X11/100*'37'!$X$31+'38'!$X11/100*'38'!$X$31+'39'!$X11/100*'39'!$X$31+'40'!$X11/100*'40'!$X$31+'41'!$X11/100*'41'!$X$31</f>
        <v>0</v>
      </c>
      <c r="Z16" s="97">
        <f t="shared" si="4"/>
        <v>8191.56</v>
      </c>
      <c r="AA16" s="94">
        <f>'42'!$S11+'43'!$S11+'44'!$S11+'45'!$S11</f>
        <v>0</v>
      </c>
      <c r="AB16" s="96">
        <f>'42'!$U11/100*'42'!$U$31+'43'!$U11/100*'43'!$U$31+'44'!$U11/100*'44'!$U$31+'45'!$U11/100*'45'!$U$31</f>
        <v>0</v>
      </c>
      <c r="AC16" s="96">
        <f>'42'!$V11/100*'42'!$V$31+'43'!$V11/100*'43'!$V$31+'44'!$V11/100*'44'!$V$31+'45'!$V11/100*'45'!$V$31</f>
        <v>0</v>
      </c>
      <c r="AD16" s="96">
        <f>'42'!$X11/100*'42'!$X$31+'43'!$X11/100*'43'!$X$31+'44'!$X11/100*'44'!$X$31+'45'!$X11/100*'45'!$X$31</f>
        <v>0</v>
      </c>
      <c r="AE16" s="97">
        <f t="shared" si="5"/>
        <v>0</v>
      </c>
    </row>
    <row r="17" spans="1:31" x14ac:dyDescent="0.25">
      <c r="A17" s="70"/>
      <c r="F17" s="96"/>
      <c r="G17" s="66"/>
      <c r="H17" s="10"/>
      <c r="K17" s="107"/>
      <c r="P17" s="107"/>
      <c r="U17" s="107"/>
      <c r="Z17" s="97"/>
      <c r="AA17" s="79"/>
      <c r="AB17" s="79"/>
      <c r="AC17" s="79"/>
      <c r="AD17" s="79"/>
      <c r="AE17" s="97"/>
    </row>
    <row r="18" spans="1:31" x14ac:dyDescent="0.25">
      <c r="A18" s="70" t="s">
        <v>32</v>
      </c>
      <c r="B18" s="94">
        <f>+'6'!S12+'7'!S12+'8'!S12+'9'!S12+'10'!S12+'11'!S12+'12'!S12+'13'!S12+'14'!S12+'15'!S12</f>
        <v>0</v>
      </c>
      <c r="C18" s="96">
        <f>+'6'!U12/100*'6'!$U$31+'7'!U12/100*'7'!$U$31+'8'!U12/100*'8'!$U$31+'9'!U12/100*'9'!$U$31+'10'!U12/100*'10'!$U$31+'11'!U12/100*'11'!$U$31+'12'!U12/100*'12'!$U$31+'13'!U12/100*'13'!$U$31+'14'!U12/100*'14'!$U$31+'15'!U12/100*'15'!$U$31</f>
        <v>0</v>
      </c>
      <c r="D18" s="96">
        <f>+'6'!V12/100*'6'!$V$31+'7'!V12/100*'7'!$V$31+'8'!V12/100*'8'!$V$31+'9'!V12/100*'9'!$V$31+'10'!V12/100*'10'!$V$31+'11'!V12/100*'11'!$V$31+'12'!V12/100*'12'!$V$31+'13'!V12/100*'13'!$V$31+'14'!V12/100*'14'!$V$31+'15'!V12/100*'15'!$V$31</f>
        <v>0</v>
      </c>
      <c r="E18" s="96">
        <f>+'6'!X12/100*'6'!$X$31+'7'!X12/100*'7'!$X$31+'8'!X12/100*'8'!$X$31+'9'!X12/100*'9'!$X$31+'10'!X12/100*'10'!$X$31+'11'!X12/100*'11'!$X$31+'12'!X12/100*'12'!$X$31+'13'!X12/100*'13'!$X$31+'14'!X12/100*'14'!$X$31+'15'!X12/100*'15'!$X$31</f>
        <v>0</v>
      </c>
      <c r="F18" s="96">
        <f t="shared" si="0"/>
        <v>0</v>
      </c>
      <c r="G18" s="94">
        <f>+'16'!$S12+'17'!$S12+'18'!$S12+'19'!$S12+'20'!$S12</f>
        <v>0</v>
      </c>
      <c r="H18" s="96">
        <f>+'16'!$U12/100*'16'!$U$31+'17'!$U12/100*'17'!$U$31+'18'!$U12/100*'18'!$U$31+'19'!$U12/100*'19'!$U$31+'20'!$U12/100*'20'!$U$31</f>
        <v>0</v>
      </c>
      <c r="I18" s="96">
        <f>+'16'!$V12/100*'16'!$V$31+'17'!$V12/100*'17'!$V$31+'18'!$V12/100*'18'!$V$31+'19'!$V12/100*'19'!$V$31+'20'!$V12/100*'20'!$V$31</f>
        <v>0</v>
      </c>
      <c r="J18" s="96">
        <f>+'16'!$X12/100*'16'!$X$31+'17'!$X12/100*'17'!$X$31+'18'!$X12/100*'18'!$X$31+'19'!$X12/100*'19'!$X$31+'20'!$X12/100*'20'!$X$31</f>
        <v>0</v>
      </c>
      <c r="K18" s="107">
        <f t="shared" si="1"/>
        <v>0</v>
      </c>
      <c r="L18" s="94">
        <f>+'21'!$S12+'22'!$S12+'23'!$S12+'24'!$S12+'25'!$S12</f>
        <v>0</v>
      </c>
      <c r="M18" s="96">
        <f>+'21'!$U12/100*'21'!$U$31+'22'!$U12/100*'22'!$U$31+'23'!$U12/100*'23'!$U$31+'24'!$U12/100*'24'!$U$31+'25'!$U12/100*'25'!$U$31</f>
        <v>0</v>
      </c>
      <c r="N18" s="96">
        <f>+'21'!$V12/100*'21'!$V$31+'22'!$V12/100*'22'!$V$31+'23'!$V12/100*'23'!$V$31+'24'!$V12/100*'24'!$V$31+'25'!$V12/100*'25'!$V$31</f>
        <v>0</v>
      </c>
      <c r="O18" s="96">
        <f>+'21'!$X12/100*'21'!$X$31+'22'!$X12/100*'22'!$X$31+'23'!$X12/100*'23'!$X$31+'24'!$X12/100*'24'!$X$31+'25'!$X12/100*'25'!$X$31</f>
        <v>0</v>
      </c>
      <c r="P18" s="107">
        <f t="shared" si="2"/>
        <v>0</v>
      </c>
      <c r="Q18" s="94">
        <f>+'26'!$S12+'27'!$S12+'28'!$S12+'29'!$S12+'30'!$S12+'31'!$S12+'32'!$S12</f>
        <v>3085225.3667189414</v>
      </c>
      <c r="R18" s="96">
        <f>+'26'!$U12/100*'26'!$U$31+'27'!$U12/100*'27'!$U$31+'28'!$U12/100*'28'!$U$31+'29'!$U12/100*'29'!$U$31+'30'!$U12/100*'30'!$U$31+'31'!$U12/100*'31'!$U$31+'32'!$U12/100*'32'!$U$31</f>
        <v>589315.54</v>
      </c>
      <c r="S18" s="96">
        <f>+'26'!$V12/100*'26'!$V$31+'27'!$V12/100*'27'!$V$31+'28'!$V12/100*'28'!$V$31+'29'!$V12/100*'29'!$V$31+'30'!$V12/100*'30'!$V$31+'31'!$V12/100*'31'!$V$31+'32'!$V12/100*'32'!$V$31</f>
        <v>0</v>
      </c>
      <c r="T18" s="96">
        <f>+'26'!$X12/100*'26'!$X$31+'27'!$X12/100*'27'!$X$31+'28'!$X12/100*'28'!$X$31+'29'!$X12/100*'29'!$X$31+'30'!$X12/100*'30'!$X$31+'31'!$X12/100*'31'!$X$31+'32'!$X12/100*'32'!$X$31</f>
        <v>0</v>
      </c>
      <c r="U18" s="107">
        <f t="shared" si="3"/>
        <v>3674540.9067189414</v>
      </c>
      <c r="V18" s="94">
        <f>+'33'!$S12+'34'!$S12+'35'!$S12+'36'!$S12+'37'!$S12+'38'!$S12+'39'!$S12+'40'!$S12+'41'!$S12</f>
        <v>335762.59000000008</v>
      </c>
      <c r="W18" s="96">
        <f>+'33'!$U12/100*'33'!$U$31+'34'!$U12/100*'34'!$U$31+'35'!$U12/100*'35'!$U$31+'36'!$U12/100*'36'!$U$31+'37'!$U12/100*'37'!$U$31+'38'!$U12/100*'38'!$U$31+'39'!$U12/100*'39'!$U$31+'40'!$U12/100*'40'!$U$31+'41'!$U12/100*'41'!$U$31</f>
        <v>854587.63</v>
      </c>
      <c r="X18" s="96">
        <f>+'33'!$V12/100*'33'!$V$31+'34'!$V12/100*'34'!$V$31+'35'!$V12/100*'35'!$V$31+'36'!$V12/100*'36'!$V$31+'37'!$V12/100*'37'!$V$31+'38'!$V12/100*'38'!$V$31+'39'!$V12/100*'39'!$V$31+'40'!$V12/100*'40'!$V$31+'41'!$V12/100*'41'!$V$31</f>
        <v>0</v>
      </c>
      <c r="Y18" s="96">
        <f>+'33'!$X12/100*'33'!$X$31+'34'!$X12/100*'34'!$X$31+'35'!$X12/100*'35'!$X$31+'36'!$X12/100*'36'!$X$31+'37'!$X12/100*'37'!$X$31+'38'!$X12/100*'38'!$X$31+'39'!$X12/100*'39'!$X$31+'40'!$X12/100*'40'!$X$31+'41'!$X12/100*'41'!$X$31</f>
        <v>0</v>
      </c>
      <c r="Z18" s="97">
        <f t="shared" si="4"/>
        <v>1190350.2200000002</v>
      </c>
      <c r="AA18" s="94">
        <f>'42'!$S12+'43'!$S12+'44'!$S12+'45'!$S12</f>
        <v>0</v>
      </c>
      <c r="AB18" s="96">
        <f>'42'!$U12/100*'42'!$U$31+'43'!$U12/100*'43'!$U$31+'44'!$U12/100*'44'!$U$31+'45'!$U12/100*'45'!$U$31</f>
        <v>196746.14239188234</v>
      </c>
      <c r="AC18" s="96">
        <f>'42'!$V12/100*'42'!$V$31+'43'!$V12/100*'43'!$V$31+'44'!$V12/100*'44'!$V$31+'45'!$V12/100*'45'!$V$31</f>
        <v>0</v>
      </c>
      <c r="AD18" s="96">
        <f>'42'!$X12/100*'42'!$X$31+'43'!$X12/100*'43'!$X$31+'44'!$X12/100*'44'!$X$31+'45'!$X12/100*'45'!$X$31</f>
        <v>0</v>
      </c>
      <c r="AE18" s="97">
        <f t="shared" si="5"/>
        <v>196746.14239188234</v>
      </c>
    </row>
    <row r="19" spans="1:31" x14ac:dyDescent="0.25">
      <c r="A19" s="70"/>
      <c r="F19" s="96"/>
      <c r="G19" s="66"/>
      <c r="H19" s="10"/>
      <c r="K19" s="107"/>
      <c r="P19" s="107"/>
      <c r="U19" s="107"/>
      <c r="Z19" s="97"/>
      <c r="AA19" s="79"/>
      <c r="AB19" s="79"/>
      <c r="AC19" s="79"/>
      <c r="AD19" s="79"/>
      <c r="AE19" s="97"/>
    </row>
    <row r="20" spans="1:31" x14ac:dyDescent="0.25">
      <c r="A20" s="70" t="s">
        <v>33</v>
      </c>
      <c r="B20" s="94">
        <f>+'6'!S13+'7'!S13+'8'!S13+'9'!S13+'10'!S13+'11'!S13+'12'!S13+'13'!S13+'14'!S13+'15'!S13</f>
        <v>24191.773829787231</v>
      </c>
      <c r="C20" s="96">
        <f>+'6'!U13/100*'6'!$U$31+'7'!U13/100*'7'!$U$31+'8'!U13/100*'8'!$U$31+'9'!U13/100*'9'!$U$31+'10'!U13/100*'10'!$U$31+'11'!U13/100*'11'!$U$31+'12'!U13/100*'12'!$U$31+'13'!U13/100*'13'!$U$31+'14'!U13/100*'14'!$U$31+'15'!U13/100*'15'!$U$31</f>
        <v>0</v>
      </c>
      <c r="D20" s="96">
        <f>+'6'!V13/100*'6'!$V$31+'7'!V13/100*'7'!$V$31+'8'!V13/100*'8'!$V$31+'9'!V13/100*'9'!$V$31+'10'!V13/100*'10'!$V$31+'11'!V13/100*'11'!$V$31+'12'!V13/100*'12'!$V$31+'13'!V13/100*'13'!$V$31+'14'!V13/100*'14'!$V$31+'15'!V13/100*'15'!$V$31</f>
        <v>0</v>
      </c>
      <c r="E20" s="96">
        <f>+'6'!X13/100*'6'!$X$31+'7'!X13/100*'7'!$X$31+'8'!X13/100*'8'!$X$31+'9'!X13/100*'9'!$X$31+'10'!X13/100*'10'!$X$31+'11'!X13/100*'11'!$X$31+'12'!X13/100*'12'!$X$31+'13'!X13/100*'13'!$X$31+'14'!X13/100*'14'!$X$31+'15'!X13/100*'15'!$X$31</f>
        <v>0</v>
      </c>
      <c r="F20" s="96">
        <f t="shared" si="0"/>
        <v>24191.773829787231</v>
      </c>
      <c r="G20" s="94">
        <f>+'16'!$S13+'17'!$S13+'18'!$S13+'19'!$S13+'20'!$S13</f>
        <v>72186.34</v>
      </c>
      <c r="H20" s="96">
        <f>+'16'!$U13/100*'16'!$U$31+'17'!$U13/100*'17'!$U$31+'18'!$U13/100*'18'!$U$31+'19'!$U13/100*'19'!$U$31+'20'!$U13/100*'20'!$U$31</f>
        <v>4956.1500000000005</v>
      </c>
      <c r="I20" s="96">
        <f>+'16'!$V13/100*'16'!$V$31+'17'!$V13/100*'17'!$V$31+'18'!$V13/100*'18'!$V$31+'19'!$V13/100*'19'!$V$31+'20'!$V13/100*'20'!$V$31</f>
        <v>0</v>
      </c>
      <c r="J20" s="96">
        <f>+'16'!$X13/100*'16'!$X$31+'17'!$X13/100*'17'!$X$31+'18'!$X13/100*'18'!$X$31+'19'!$X13/100*'19'!$X$31+'20'!$X13/100*'20'!$X$31</f>
        <v>0</v>
      </c>
      <c r="K20" s="107">
        <f t="shared" si="1"/>
        <v>77142.489999999991</v>
      </c>
      <c r="L20" s="94">
        <f>+'21'!$S13+'22'!$S13+'23'!$S13+'24'!$S13+'25'!$S13</f>
        <v>33033.71746124683</v>
      </c>
      <c r="M20" s="96">
        <f>+'21'!$U13/100*'21'!$U$31+'22'!$U13/100*'22'!$U$31+'23'!$U13/100*'23'!$U$31+'24'!$U13/100*'24'!$U$31+'25'!$U13/100*'25'!$U$31</f>
        <v>0</v>
      </c>
      <c r="N20" s="96">
        <f>+'21'!$V13/100*'21'!$V$31+'22'!$V13/100*'22'!$V$31+'23'!$V13/100*'23'!$V$31+'24'!$V13/100*'24'!$V$31+'25'!$V13/100*'25'!$V$31</f>
        <v>5433.8805562251191</v>
      </c>
      <c r="O20" s="96">
        <f>+'21'!$X13/100*'21'!$X$31+'22'!$X13/100*'22'!$X$31+'23'!$X13/100*'23'!$X$31+'24'!$X13/100*'24'!$X$31+'25'!$X13/100*'25'!$X$31</f>
        <v>0</v>
      </c>
      <c r="P20" s="107">
        <f t="shared" si="2"/>
        <v>38467.598017471952</v>
      </c>
      <c r="Q20" s="94">
        <f>+'26'!$S13+'27'!$S13+'28'!$S13+'29'!$S13+'30'!$S13+'31'!$S13+'32'!$S13</f>
        <v>1253692.6123478289</v>
      </c>
      <c r="R20" s="96">
        <f>+'26'!$U13/100*'26'!$U$31+'27'!$U13/100*'27'!$U$31+'28'!$U13/100*'28'!$U$31+'29'!$U13/100*'29'!$U$31+'30'!$U13/100*'30'!$U$31+'31'!$U13/100*'31'!$U$31+'32'!$U13/100*'32'!$U$31</f>
        <v>0</v>
      </c>
      <c r="S20" s="96">
        <f>+'26'!$V13/100*'26'!$V$31+'27'!$V13/100*'27'!$V$31+'28'!$V13/100*'28'!$V$31+'29'!$V13/100*'29'!$V$31+'30'!$V13/100*'30'!$V$31+'31'!$V13/100*'31'!$V$31+'32'!$V13/100*'32'!$V$31</f>
        <v>0</v>
      </c>
      <c r="T20" s="96">
        <f>+'26'!$X13/100*'26'!$X$31+'27'!$X13/100*'27'!$X$31+'28'!$X13/100*'28'!$X$31+'29'!$X13/100*'29'!$X$31+'30'!$X13/100*'30'!$X$31+'31'!$X13/100*'31'!$X$31+'32'!$X13/100*'32'!$X$31</f>
        <v>0</v>
      </c>
      <c r="U20" s="107">
        <f t="shared" si="3"/>
        <v>1253692.6123478289</v>
      </c>
      <c r="V20" s="94">
        <f>+'33'!$S13+'34'!$S13+'35'!$S13+'36'!$S13+'37'!$S13+'38'!$S13+'39'!$S13+'40'!$S13+'41'!$S13</f>
        <v>0</v>
      </c>
      <c r="W20" s="96">
        <f>+'33'!$U13/100*'33'!$U$31+'34'!$U13/100*'34'!$U$31+'35'!$U13/100*'35'!$U$31+'36'!$U13/100*'36'!$U$31+'37'!$U13/100*'37'!$U$31+'38'!$U13/100*'38'!$U$31+'39'!$U13/100*'39'!$U$31+'40'!$U13/100*'40'!$U$31+'41'!$U13/100*'41'!$U$31</f>
        <v>17479.11</v>
      </c>
      <c r="X20" s="96">
        <f>+'33'!$V13/100*'33'!$V$31+'34'!$V13/100*'34'!$V$31+'35'!$V13/100*'35'!$V$31+'36'!$V13/100*'36'!$V$31+'37'!$V13/100*'37'!$V$31+'38'!$V13/100*'38'!$V$31+'39'!$V13/100*'39'!$V$31+'40'!$V13/100*'40'!$V$31+'41'!$V13/100*'41'!$V$31</f>
        <v>0</v>
      </c>
      <c r="Y20" s="96">
        <f>+'33'!$X13/100*'33'!$X$31+'34'!$X13/100*'34'!$X$31+'35'!$X13/100*'35'!$X$31+'36'!$X13/100*'36'!$X$31+'37'!$X13/100*'37'!$X$31+'38'!$X13/100*'38'!$X$31+'39'!$X13/100*'39'!$X$31+'40'!$X13/100*'40'!$X$31+'41'!$X13/100*'41'!$X$31</f>
        <v>0</v>
      </c>
      <c r="Z20" s="97">
        <f t="shared" si="4"/>
        <v>17479.11</v>
      </c>
      <c r="AA20" s="94">
        <f>'42'!$S13+'43'!$S13+'44'!$S13+'45'!$S13</f>
        <v>0</v>
      </c>
      <c r="AB20" s="96">
        <f>'42'!$U13/100*'42'!$U$31+'43'!$U13/100*'43'!$U$31+'44'!$U13/100*'44'!$U$31+'45'!$U13/100*'45'!$U$31</f>
        <v>0</v>
      </c>
      <c r="AC20" s="96">
        <f>'42'!$V13/100*'42'!$V$31+'43'!$V13/100*'43'!$V$31+'44'!$V13/100*'44'!$V$31+'45'!$V13/100*'45'!$V$31</f>
        <v>0</v>
      </c>
      <c r="AD20" s="96">
        <f>'42'!$X13/100*'42'!$X$31+'43'!$X13/100*'43'!$X$31+'44'!$X13/100*'44'!$X$31+'45'!$X13/100*'45'!$X$31</f>
        <v>0</v>
      </c>
      <c r="AE20" s="97">
        <f t="shared" si="5"/>
        <v>0</v>
      </c>
    </row>
    <row r="21" spans="1:31" x14ac:dyDescent="0.25">
      <c r="A21" s="70"/>
      <c r="F21" s="96"/>
      <c r="G21" s="66"/>
      <c r="H21" s="10"/>
      <c r="K21" s="107"/>
      <c r="P21" s="107"/>
      <c r="U21" s="107"/>
      <c r="Z21" s="97"/>
      <c r="AA21" s="79"/>
      <c r="AB21" s="79"/>
      <c r="AC21" s="79"/>
      <c r="AD21" s="79"/>
      <c r="AE21" s="97"/>
    </row>
    <row r="22" spans="1:31" x14ac:dyDescent="0.25">
      <c r="A22" s="70" t="s">
        <v>34</v>
      </c>
      <c r="B22" s="94">
        <f>+'6'!S14+'7'!S14+'8'!S14+'9'!S14+'10'!S14+'11'!S14+'12'!S14+'13'!S14+'14'!S14+'15'!S14</f>
        <v>654617.6681792523</v>
      </c>
      <c r="C22" s="96">
        <f>+'6'!U14/100*'6'!$U$31+'7'!U14/100*'7'!$U$31+'8'!U14/100*'8'!$U$31+'9'!U14/100*'9'!$U$31+'10'!U14/100*'10'!$U$31+'11'!U14/100*'11'!$U$31+'12'!U14/100*'12'!$U$31+'13'!U14/100*'13'!$U$31+'14'!U14/100*'14'!$U$31+'15'!U14/100*'15'!$U$31</f>
        <v>0</v>
      </c>
      <c r="D22" s="96">
        <f>+'6'!V14/100*'6'!$V$31+'7'!V14/100*'7'!$V$31+'8'!V14/100*'8'!$V$31+'9'!V14/100*'9'!$V$31+'10'!V14/100*'10'!$V$31+'11'!V14/100*'11'!$V$31+'12'!V14/100*'12'!$V$31+'13'!V14/100*'13'!$V$31+'14'!V14/100*'14'!$V$31+'15'!V14/100*'15'!$V$31</f>
        <v>0</v>
      </c>
      <c r="E22" s="96">
        <f>+'6'!X14/100*'6'!$X$31+'7'!X14/100*'7'!$X$31+'8'!X14/100*'8'!$X$31+'9'!X14/100*'9'!$X$31+'10'!X14/100*'10'!$X$31+'11'!X14/100*'11'!$X$31+'12'!X14/100*'12'!$X$31+'13'!X14/100*'13'!$X$31+'14'!X14/100*'14'!$X$31+'15'!X14/100*'15'!$X$31</f>
        <v>0</v>
      </c>
      <c r="F22" s="96">
        <f t="shared" si="0"/>
        <v>654617.6681792523</v>
      </c>
      <c r="G22" s="94">
        <f>+'16'!$S14+'17'!$S14+'18'!$S14+'19'!$S14+'20'!$S14</f>
        <v>92732.34</v>
      </c>
      <c r="H22" s="96">
        <f>+'16'!$U14/100*'16'!$U$31+'17'!$U14/100*'17'!$U$31+'18'!$U14/100*'18'!$U$31+'19'!$U14/100*'19'!$U$31+'20'!$U14/100*'20'!$U$31</f>
        <v>0</v>
      </c>
      <c r="I22" s="96">
        <f>+'16'!$V14/100*'16'!$V$31+'17'!$V14/100*'17'!$V$31+'18'!$V14/100*'18'!$V$31+'19'!$V14/100*'19'!$V$31+'20'!$V14/100*'20'!$V$31</f>
        <v>0</v>
      </c>
      <c r="J22" s="96">
        <f>+'16'!$X14/100*'16'!$X$31+'17'!$X14/100*'17'!$X$31+'18'!$X14/100*'18'!$X$31+'19'!$X14/100*'19'!$X$31+'20'!$X14/100*'20'!$X$31</f>
        <v>0</v>
      </c>
      <c r="K22" s="107">
        <f t="shared" si="1"/>
        <v>92732.34</v>
      </c>
      <c r="L22" s="94">
        <f>+'21'!$S14+'22'!$S14+'23'!$S14+'24'!$S14+'25'!$S14</f>
        <v>58844.48907150481</v>
      </c>
      <c r="M22" s="96">
        <f>+'21'!$U14/100*'21'!$U$31+'22'!$U14/100*'22'!$U$31+'23'!$U14/100*'23'!$U$31+'24'!$U14/100*'24'!$U$31+'25'!$U14/100*'25'!$U$31</f>
        <v>0</v>
      </c>
      <c r="N22" s="96">
        <f>+'21'!$V14/100*'21'!$V$31+'22'!$V14/100*'22'!$V$31+'23'!$V14/100*'23'!$V$31+'24'!$V14/100*'24'!$V$31+'25'!$V14/100*'25'!$V$31</f>
        <v>0</v>
      </c>
      <c r="O22" s="96">
        <f>+'21'!$X14/100*'21'!$X$31+'22'!$X14/100*'22'!$X$31+'23'!$X14/100*'23'!$X$31+'24'!$X14/100*'24'!$X$31+'25'!$X14/100*'25'!$X$31</f>
        <v>0</v>
      </c>
      <c r="P22" s="107">
        <f t="shared" si="2"/>
        <v>58844.48907150481</v>
      </c>
      <c r="Q22" s="94">
        <f>+'26'!$S14+'27'!$S14+'28'!$S14+'29'!$S14+'30'!$S14+'31'!$S14+'32'!$S14</f>
        <v>822059.46000000008</v>
      </c>
      <c r="R22" s="96">
        <f>+'26'!$U14/100*'26'!$U$31+'27'!$U14/100*'27'!$U$31+'28'!$U14/100*'28'!$U$31+'29'!$U14/100*'29'!$U$31+'30'!$U14/100*'30'!$U$31+'31'!$U14/100*'31'!$U$31+'32'!$U14/100*'32'!$U$31</f>
        <v>80022</v>
      </c>
      <c r="S22" s="96">
        <f>+'26'!$V14/100*'26'!$V$31+'27'!$V14/100*'27'!$V$31+'28'!$V14/100*'28'!$V$31+'29'!$V14/100*'29'!$V$31+'30'!$V14/100*'30'!$V$31+'31'!$V14/100*'31'!$V$31+'32'!$V14/100*'32'!$V$31</f>
        <v>0</v>
      </c>
      <c r="T22" s="96">
        <f>+'26'!$X14/100*'26'!$X$31+'27'!$X14/100*'27'!$X$31+'28'!$X14/100*'28'!$X$31+'29'!$X14/100*'29'!$X$31+'30'!$X14/100*'30'!$X$31+'31'!$X14/100*'31'!$X$31+'32'!$X14/100*'32'!$X$31</f>
        <v>0</v>
      </c>
      <c r="U22" s="107">
        <f t="shared" si="3"/>
        <v>902081.46000000008</v>
      </c>
      <c r="V22" s="94">
        <f>+'33'!$S14+'34'!$S14+'35'!$S14+'36'!$S14+'37'!$S14+'38'!$S14+'39'!$S14+'40'!$S14+'41'!$S14</f>
        <v>1586629.35</v>
      </c>
      <c r="W22" s="96">
        <f>+'33'!$U14/100*'33'!$U$31+'34'!$U14/100*'34'!$U$31+'35'!$U14/100*'35'!$U$31+'36'!$U14/100*'36'!$U$31+'37'!$U14/100*'37'!$U$31+'38'!$U14/100*'38'!$U$31+'39'!$U14/100*'39'!$U$31+'40'!$U14/100*'40'!$U$31+'41'!$U14/100*'41'!$U$31</f>
        <v>340605.81</v>
      </c>
      <c r="X22" s="96">
        <f>+'33'!$V14/100*'33'!$V$31+'34'!$V14/100*'34'!$V$31+'35'!$V14/100*'35'!$V$31+'36'!$V14/100*'36'!$V$31+'37'!$V14/100*'37'!$V$31+'38'!$V14/100*'38'!$V$31+'39'!$V14/100*'39'!$V$31+'40'!$V14/100*'40'!$V$31+'41'!$V14/100*'41'!$V$31</f>
        <v>0</v>
      </c>
      <c r="Y22" s="96">
        <f>+'33'!$X14/100*'33'!$X$31+'34'!$X14/100*'34'!$X$31+'35'!$X14/100*'35'!$X$31+'36'!$X14/100*'36'!$X$31+'37'!$X14/100*'37'!$X$31+'38'!$X14/100*'38'!$X$31+'39'!$X14/100*'39'!$X$31+'40'!$X14/100*'40'!$X$31+'41'!$X14/100*'41'!$X$31</f>
        <v>0</v>
      </c>
      <c r="Z22" s="97">
        <f t="shared" si="4"/>
        <v>1927235.1600000001</v>
      </c>
      <c r="AA22" s="94">
        <f>'42'!$S14+'43'!$S14+'44'!$S14+'45'!$S14</f>
        <v>0</v>
      </c>
      <c r="AB22" s="96">
        <f>'42'!$U14/100*'42'!$U$31+'43'!$U14/100*'43'!$U$31+'44'!$U14/100*'44'!$U$31+'45'!$U14/100*'45'!$U$31</f>
        <v>0</v>
      </c>
      <c r="AC22" s="96">
        <f>'42'!$V14/100*'42'!$V$31+'43'!$V14/100*'43'!$V$31+'44'!$V14/100*'44'!$V$31+'45'!$V14/100*'45'!$V$31</f>
        <v>0</v>
      </c>
      <c r="AD22" s="96">
        <f>'42'!$X14/100*'42'!$X$31+'43'!$X14/100*'43'!$X$31+'44'!$X14/100*'44'!$X$31+'45'!$X14/100*'45'!$X$31</f>
        <v>0</v>
      </c>
      <c r="AE22" s="97">
        <f t="shared" si="5"/>
        <v>0</v>
      </c>
    </row>
    <row r="23" spans="1:31" x14ac:dyDescent="0.25">
      <c r="A23" s="70"/>
      <c r="F23" s="96"/>
      <c r="G23" s="66"/>
      <c r="H23" s="10"/>
      <c r="K23" s="107"/>
      <c r="P23" s="107"/>
      <c r="U23" s="107"/>
      <c r="Z23" s="97"/>
      <c r="AA23" s="79"/>
      <c r="AB23" s="79"/>
      <c r="AC23" s="79"/>
      <c r="AD23" s="79"/>
      <c r="AE23" s="97"/>
    </row>
    <row r="24" spans="1:31" x14ac:dyDescent="0.25">
      <c r="A24" s="70" t="s">
        <v>35</v>
      </c>
      <c r="B24" s="94">
        <f>+'6'!S15+'7'!S15+'8'!S15+'9'!S15+'10'!S15+'11'!S15+'12'!S15+'13'!S15+'14'!S15+'15'!S15</f>
        <v>240420.32234042554</v>
      </c>
      <c r="C24" s="87">
        <f>+'6'!U15/100*'6'!$U$31+'7'!U15/100*'7'!$U$31+'8'!U15/100*'8'!$U$31+'9'!U15/100*'9'!$U$31+'10'!U15/100*'10'!$U$31+'11'!U15/100*'11'!$U$31+'12'!U15/100*'12'!$U$31+'13'!U15/100*'13'!$U$31+'14'!U15/100*'14'!$U$31+'15'!U15/100*'15'!$U$31</f>
        <v>0</v>
      </c>
      <c r="D24" s="96">
        <f>+'6'!V15/100*'6'!$V$31+'7'!V15/100*'7'!$V$31+'8'!V15/100*'8'!$V$31+'9'!V15/100*'9'!$V$31+'10'!V15/100*'10'!$V$31+'11'!V15/100*'11'!$V$31+'12'!V15/100*'12'!$V$31+'13'!V15/100*'13'!$V$31+'14'!V15/100*'14'!$V$31+'15'!V15/100*'15'!$V$31</f>
        <v>0</v>
      </c>
      <c r="E24" s="96">
        <f>+'6'!X15/100*'6'!$X$31+'7'!X15/100*'7'!$X$31+'8'!X15/100*'8'!$X$31+'9'!X15/100*'9'!$X$31+'10'!X15/100*'10'!$X$31+'11'!X15/100*'11'!$X$31+'12'!X15/100*'12'!$X$31+'13'!X15/100*'13'!$X$31+'14'!X15/100*'14'!$X$31+'15'!X15/100*'15'!$X$31</f>
        <v>0</v>
      </c>
      <c r="F24" s="96">
        <f t="shared" si="0"/>
        <v>240420.32234042554</v>
      </c>
      <c r="G24" s="94">
        <f>+'16'!$S15+'17'!$S15+'18'!$S15+'19'!$S15+'20'!$S15</f>
        <v>160650.15</v>
      </c>
      <c r="H24" s="87">
        <f>+'16'!$U15/100*'16'!$U$31+'17'!$U15/100*'17'!$U$31+'18'!$U15/100*'18'!$U$31+'19'!$U15/100*'19'!$U$31+'20'!$U15/100*'20'!$U$31</f>
        <v>7801.03</v>
      </c>
      <c r="I24" s="96">
        <f>+'16'!$V15/100*'16'!$V$31+'17'!$V15/100*'17'!$V$31+'18'!$V15/100*'18'!$V$31+'19'!$V15/100*'19'!$V$31+'20'!$V15/100*'20'!$V$31</f>
        <v>0</v>
      </c>
      <c r="J24" s="96">
        <f>+'16'!$X15/100*'16'!$X$31+'17'!$X15/100*'17'!$X$31+'18'!$X15/100*'18'!$X$31+'19'!$X15/100*'19'!$X$31+'20'!$X15/100*'20'!$X$31</f>
        <v>0</v>
      </c>
      <c r="K24" s="107">
        <f t="shared" si="1"/>
        <v>168451.18</v>
      </c>
      <c r="L24" s="94">
        <f>+'21'!$S15+'22'!$S15+'23'!$S15+'24'!$S15+'25'!$S15</f>
        <v>2901</v>
      </c>
      <c r="M24" s="96">
        <f>+'21'!$U15/100*'21'!$U$31+'22'!$U15/100*'22'!$U$31+'23'!$U15/100*'23'!$U$31+'24'!$U15/100*'24'!$U$31+'25'!$U15/100*'25'!$U$31</f>
        <v>0</v>
      </c>
      <c r="N24" s="96">
        <f>+'21'!$V15/100*'21'!$V$31+'22'!$V15/100*'22'!$V$31+'23'!$V15/100*'23'!$V$31+'24'!$V15/100*'24'!$V$31+'25'!$V15/100*'25'!$V$31</f>
        <v>0</v>
      </c>
      <c r="O24" s="96">
        <f>+'21'!$X15/100*'21'!$X$31+'22'!$X15/100*'22'!$X$31+'23'!$X15/100*'23'!$X$31+'24'!$X15/100*'24'!$X$31+'25'!$X15/100*'25'!$X$31</f>
        <v>0</v>
      </c>
      <c r="P24" s="107">
        <f t="shared" si="2"/>
        <v>2901</v>
      </c>
      <c r="Q24" s="94">
        <f>+'26'!$S15+'27'!$S15+'28'!$S15+'29'!$S15+'30'!$S15+'31'!$S15+'32'!$S15</f>
        <v>118280.63375240973</v>
      </c>
      <c r="R24" s="96">
        <f>+'26'!$U15/100*'26'!$U$31+'27'!$U15/100*'27'!$U$31+'28'!$U15/100*'28'!$U$31+'29'!$U15/100*'29'!$U$31+'30'!$U15/100*'30'!$U$31+'31'!$U15/100*'31'!$U$31+'32'!$U15/100*'32'!$U$31</f>
        <v>0</v>
      </c>
      <c r="S24" s="96">
        <f>+'26'!$V15/100*'26'!$V$31+'27'!$V15/100*'27'!$V$31+'28'!$V15/100*'28'!$V$31+'29'!$V15/100*'29'!$V$31+'30'!$V15/100*'30'!$V$31+'31'!$V15/100*'31'!$V$31+'32'!$V15/100*'32'!$V$31</f>
        <v>0</v>
      </c>
      <c r="T24" s="96">
        <f>+'26'!$X15/100*'26'!$X$31+'27'!$X15/100*'27'!$X$31+'28'!$X15/100*'28'!$X$31+'29'!$X15/100*'29'!$X$31+'30'!$X15/100*'30'!$X$31+'31'!$X15/100*'31'!$X$31+'32'!$X15/100*'32'!$X$31</f>
        <v>0</v>
      </c>
      <c r="U24" s="107">
        <f t="shared" si="3"/>
        <v>118280.63375240973</v>
      </c>
      <c r="V24" s="94">
        <f>+'33'!$S15+'34'!$S15+'35'!$S15+'36'!$S15+'37'!$S15+'38'!$S15+'39'!$S15+'40'!$S15+'41'!$S15</f>
        <v>429040.4</v>
      </c>
      <c r="W24" s="96">
        <f>+'33'!$U15/100*'33'!$U$31+'34'!$U15/100*'34'!$U$31+'35'!$U15/100*'35'!$U$31+'36'!$U15/100*'36'!$U$31+'37'!$U15/100*'37'!$U$31+'38'!$U15/100*'38'!$U$31+'39'!$U15/100*'39'!$U$31+'40'!$U15/100*'40'!$U$31+'41'!$U15/100*'41'!$U$31</f>
        <v>0</v>
      </c>
      <c r="X24" s="96">
        <f>+'33'!$V15/100*'33'!$V$31+'34'!$V15/100*'34'!$V$31+'35'!$V15/100*'35'!$V$31+'36'!$V15/100*'36'!$V$31+'37'!$V15/100*'37'!$V$31+'38'!$V15/100*'38'!$V$31+'39'!$V15/100*'39'!$V$31+'40'!$V15/100*'40'!$V$31+'41'!$V15/100*'41'!$V$31</f>
        <v>0</v>
      </c>
      <c r="Y24" s="96">
        <f>+'33'!$X15/100*'33'!$X$31+'34'!$X15/100*'34'!$X$31+'35'!$X15/100*'35'!$X$31+'36'!$X15/100*'36'!$X$31+'37'!$X15/100*'37'!$X$31+'38'!$X15/100*'38'!$X$31+'39'!$X15/100*'39'!$X$31+'40'!$X15/100*'40'!$X$31+'41'!$X15/100*'41'!$X$31</f>
        <v>0</v>
      </c>
      <c r="Z24" s="97">
        <f t="shared" si="4"/>
        <v>429040.4</v>
      </c>
      <c r="AA24" s="94">
        <f>'42'!$S15+'43'!$S15+'44'!$S15+'45'!$S15</f>
        <v>31171.399999999998</v>
      </c>
      <c r="AB24" s="96">
        <f>'42'!$U15/100*'42'!$U$31+'43'!$U15/100*'43'!$U$31+'44'!$U15/100*'44'!$U$31+'45'!$U15/100*'45'!$U$31</f>
        <v>0</v>
      </c>
      <c r="AC24" s="96">
        <f>'42'!$V15/100*'42'!$V$31+'43'!$V15/100*'43'!$V$31+'44'!$V15/100*'44'!$V$31+'45'!$V15/100*'45'!$V$31</f>
        <v>0</v>
      </c>
      <c r="AD24" s="96">
        <f>'42'!$X15/100*'42'!$X$31+'43'!$X15/100*'43'!$X$31+'44'!$X15/100*'44'!$X$31+'45'!$X15/100*'45'!$X$31</f>
        <v>0</v>
      </c>
      <c r="AE24" s="97">
        <f t="shared" si="5"/>
        <v>31171.399999999998</v>
      </c>
    </row>
    <row r="25" spans="1:31" x14ac:dyDescent="0.25">
      <c r="A25" s="70"/>
      <c r="F25" s="96"/>
      <c r="G25" s="66"/>
      <c r="H25" s="10"/>
      <c r="K25" s="107"/>
      <c r="P25" s="107"/>
      <c r="U25" s="107"/>
      <c r="Z25" s="97"/>
      <c r="AA25" s="79"/>
      <c r="AB25" s="79"/>
      <c r="AC25" s="79"/>
      <c r="AD25" s="79"/>
      <c r="AE25" s="97"/>
    </row>
    <row r="26" spans="1:31" x14ac:dyDescent="0.25">
      <c r="A26" s="70" t="s">
        <v>36</v>
      </c>
      <c r="B26" s="94">
        <f>+'6'!S16+'7'!S16+'8'!S16+'9'!S16+'10'!S16+'11'!S16+'12'!S16+'13'!S16+'14'!S16+'15'!S16</f>
        <v>755909.02127659577</v>
      </c>
      <c r="C26" s="96">
        <f>+'6'!U16/100*'6'!$U$31+'7'!U16/100*'7'!$U$31+'8'!U16/100*'8'!$U$31+'9'!U16/100*'9'!$U$31+'10'!U16/100*'10'!$U$31+'11'!U16/100*'11'!$U$31+'12'!U16/100*'12'!$U$31+'13'!U16/100*'13'!$U$31+'14'!U16/100*'14'!$U$31+'15'!U16/100*'15'!$U$31</f>
        <v>0</v>
      </c>
      <c r="D26" s="96">
        <f>+'6'!V16/100*'6'!$V$31+'7'!V16/100*'7'!$V$31+'8'!V16/100*'8'!$V$31+'9'!V16/100*'9'!$V$31+'10'!V16/100*'10'!$V$31+'11'!V16/100*'11'!$V$31+'12'!V16/100*'12'!$V$31+'13'!V16/100*'13'!$V$31+'14'!V16/100*'14'!$V$31+'15'!V16/100*'15'!$V$31</f>
        <v>56068</v>
      </c>
      <c r="E26" s="96">
        <f>+'6'!X16/100*'6'!$X$31+'7'!X16/100*'7'!$X$31+'8'!X16/100*'8'!$X$31+'9'!X16/100*'9'!$X$31+'10'!X16/100*'10'!$X$31+'11'!X16/100*'11'!$X$31+'12'!X16/100*'12'!$X$31+'13'!X16/100*'13'!$X$31+'14'!X16/100*'14'!$X$31+'15'!X16/100*'15'!$X$31</f>
        <v>30642</v>
      </c>
      <c r="F26" s="96">
        <f t="shared" si="0"/>
        <v>842619.02127659577</v>
      </c>
      <c r="G26" s="94">
        <f>+'16'!$S16+'17'!$S16+'18'!$S16+'19'!$S16+'20'!$S16</f>
        <v>256429.5</v>
      </c>
      <c r="H26" s="96">
        <f>+'16'!$U16/100*'16'!$U$31+'17'!$U16/100*'17'!$U$31+'18'!$U16/100*'18'!$U$31+'19'!$U16/100*'19'!$U$31+'20'!$U16/100*'20'!$U$31</f>
        <v>0</v>
      </c>
      <c r="I26" s="96">
        <f>+'16'!$V16/100*'16'!$V$31+'17'!$V16/100*'17'!$V$31+'18'!$V16/100*'18'!$V$31+'19'!$V16/100*'19'!$V$31+'20'!$V16/100*'20'!$V$31</f>
        <v>0</v>
      </c>
      <c r="J26" s="96">
        <f>+'16'!$X16/100*'16'!$X$31+'17'!$X16/100*'17'!$X$31+'18'!$X16/100*'18'!$X$31+'19'!$X16/100*'19'!$X$31+'20'!$X16/100*'20'!$X$31</f>
        <v>0</v>
      </c>
      <c r="K26" s="107">
        <f t="shared" si="1"/>
        <v>256429.5</v>
      </c>
      <c r="L26" s="94">
        <f>+'21'!$S16+'22'!$S16+'23'!$S16+'24'!$S16+'25'!$S16</f>
        <v>93877</v>
      </c>
      <c r="M26" s="96">
        <f>+'21'!$U16/100*'21'!$U$31+'22'!$U16/100*'22'!$U$31+'23'!$U16/100*'23'!$U$31+'24'!$U16/100*'24'!$U$31+'25'!$U16/100*'25'!$U$31</f>
        <v>0</v>
      </c>
      <c r="N26" s="96">
        <f>+'21'!$V16/100*'21'!$V$31+'22'!$V16/100*'22'!$V$31+'23'!$V16/100*'23'!$V$31+'24'!$V16/100*'24'!$V$31+'25'!$V16/100*'25'!$V$31</f>
        <v>0</v>
      </c>
      <c r="O26" s="96">
        <f>+'21'!$X16/100*'21'!$X$31+'22'!$X16/100*'22'!$X$31+'23'!$X16/100*'23'!$X$31+'24'!$X16/100*'24'!$X$31+'25'!$X16/100*'25'!$X$31</f>
        <v>0</v>
      </c>
      <c r="P26" s="107">
        <f t="shared" si="2"/>
        <v>93877</v>
      </c>
      <c r="Q26" s="94">
        <f>+'26'!$S16+'27'!$S16+'28'!$S16+'29'!$S16+'30'!$S16+'31'!$S16+'32'!$S16</f>
        <v>768213.32535048621</v>
      </c>
      <c r="R26" s="96">
        <f>+'26'!$U16/100*'26'!$U$31+'27'!$U16/100*'27'!$U$31+'28'!$U16/100*'28'!$U$31+'29'!$U16/100*'29'!$U$31+'30'!$U16/100*'30'!$U$31+'31'!$U16/100*'31'!$U$31+'32'!$U16/100*'32'!$U$31</f>
        <v>0</v>
      </c>
      <c r="S26" s="96">
        <f>+'26'!$V16/100*'26'!$V$31+'27'!$V16/100*'27'!$V$31+'28'!$V16/100*'28'!$V$31+'29'!$V16/100*'29'!$V$31+'30'!$V16/100*'30'!$V$31+'31'!$V16/100*'31'!$V$31+'32'!$V16/100*'32'!$V$31</f>
        <v>0</v>
      </c>
      <c r="T26" s="96">
        <f>+'26'!$X16/100*'26'!$X$31+'27'!$X16/100*'27'!$X$31+'28'!$X16/100*'28'!$X$31+'29'!$X16/100*'29'!$X$31+'30'!$X16/100*'30'!$X$31+'31'!$X16/100*'31'!$X$31+'32'!$X16/100*'32'!$X$31</f>
        <v>0</v>
      </c>
      <c r="U26" s="107">
        <f t="shared" si="3"/>
        <v>768213.32535048621</v>
      </c>
      <c r="V26" s="94">
        <f>+'33'!$S16+'34'!$S16+'35'!$S16+'36'!$S16+'37'!$S16+'38'!$S16+'39'!$S16+'40'!$S16+'41'!$S16</f>
        <v>1576868</v>
      </c>
      <c r="W26" s="96">
        <f>+'33'!$U16/100*'33'!$U$31+'34'!$U16/100*'34'!$U$31+'35'!$U16/100*'35'!$U$31+'36'!$U16/100*'36'!$U$31+'37'!$U16/100*'37'!$U$31+'38'!$U16/100*'38'!$U$31+'39'!$U16/100*'39'!$U$31+'40'!$U16/100*'40'!$U$31+'41'!$U16/100*'41'!$U$31</f>
        <v>0</v>
      </c>
      <c r="X26" s="96">
        <f>+'33'!$V16/100*'33'!$V$31+'34'!$V16/100*'34'!$V$31+'35'!$V16/100*'35'!$V$31+'36'!$V16/100*'36'!$V$31+'37'!$V16/100*'37'!$V$31+'38'!$V16/100*'38'!$V$31+'39'!$V16/100*'39'!$V$31+'40'!$V16/100*'40'!$V$31+'41'!$V16/100*'41'!$V$31</f>
        <v>0</v>
      </c>
      <c r="Y26" s="96">
        <f>+'33'!$X16/100*'33'!$X$31+'34'!$X16/100*'34'!$X$31+'35'!$X16/100*'35'!$X$31+'36'!$X16/100*'36'!$X$31+'37'!$X16/100*'37'!$X$31+'38'!$X16/100*'38'!$X$31+'39'!$X16/100*'39'!$X$31+'40'!$X16/100*'40'!$X$31+'41'!$X16/100*'41'!$X$31</f>
        <v>0</v>
      </c>
      <c r="Z26" s="97">
        <f t="shared" si="4"/>
        <v>1576868</v>
      </c>
      <c r="AA26" s="94">
        <f>'42'!$S16+'43'!$S16+'44'!$S16+'45'!$S16</f>
        <v>844221</v>
      </c>
      <c r="AB26" s="96">
        <f>'42'!$U16/100*'42'!$U$31+'43'!$U16/100*'43'!$U$31+'44'!$U16/100*'44'!$U$31+'45'!$U16/100*'45'!$U$31</f>
        <v>0</v>
      </c>
      <c r="AC26" s="96">
        <f>'42'!$V16/100*'42'!$V$31+'43'!$V16/100*'43'!$V$31+'44'!$V16/100*'44'!$V$31+'45'!$V16/100*'45'!$V$31</f>
        <v>0</v>
      </c>
      <c r="AD26" s="96">
        <f>'42'!$X16/100*'42'!$X$31+'43'!$X16/100*'43'!$X$31+'44'!$X16/100*'44'!$X$31+'45'!$X16/100*'45'!$X$31</f>
        <v>0</v>
      </c>
      <c r="AE26" s="97">
        <f t="shared" si="5"/>
        <v>844221</v>
      </c>
    </row>
    <row r="27" spans="1:31" x14ac:dyDescent="0.25">
      <c r="A27" s="70"/>
      <c r="F27" s="96"/>
      <c r="G27" s="66"/>
      <c r="H27" s="10"/>
      <c r="K27" s="107"/>
      <c r="P27" s="107"/>
      <c r="U27" s="107"/>
      <c r="Z27" s="97"/>
      <c r="AA27" s="79"/>
      <c r="AB27" s="79"/>
      <c r="AC27" s="79"/>
      <c r="AD27" s="79"/>
      <c r="AE27" s="97"/>
    </row>
    <row r="28" spans="1:31" x14ac:dyDescent="0.25">
      <c r="A28" s="70" t="s">
        <v>37</v>
      </c>
      <c r="B28" s="94">
        <f>+'6'!S17+'7'!S17+'8'!S17+'9'!S17+'10'!S17+'11'!S17+'12'!S17+'13'!S17+'14'!S17+'15'!S17</f>
        <v>1096104.3004041039</v>
      </c>
      <c r="C28" s="96">
        <f>+'6'!U17/100*'6'!$U$31+'7'!U17/100*'7'!$U$31+'8'!U17/100*'8'!$U$31+'9'!U17/100*'9'!$U$31+'10'!U17/100*'10'!$U$31+'11'!U17/100*'11'!$U$31+'12'!U17/100*'12'!$U$31+'13'!U17/100*'13'!$U$31+'14'!U17/100*'14'!$U$31+'15'!U17/100*'15'!$U$31</f>
        <v>35804.712453922475</v>
      </c>
      <c r="D28" s="96">
        <f>+'6'!V17/100*'6'!$V$31+'7'!V17/100*'7'!$V$31+'8'!V17/100*'8'!$V$31+'9'!V17/100*'9'!$V$31+'10'!V17/100*'10'!$V$31+'11'!V17/100*'11'!$V$31+'12'!V17/100*'12'!$V$31+'13'!V17/100*'13'!$V$31+'14'!V17/100*'14'!$V$31+'15'!V17/100*'15'!$V$31</f>
        <v>601078.20765411737</v>
      </c>
      <c r="E28" s="96">
        <f>+'6'!X17/100*'6'!$X$31+'7'!X17/100*'7'!$X$31+'8'!X17/100*'8'!$X$31+'9'!X17/100*'9'!$X$31+'10'!X17/100*'10'!$X$31+'11'!X17/100*'11'!$X$31+'12'!X17/100*'12'!$X$31+'13'!X17/100*'13'!$X$31+'14'!X17/100*'14'!$X$31+'15'!X17/100*'15'!$X$31</f>
        <v>143799</v>
      </c>
      <c r="F28" s="96">
        <f t="shared" si="0"/>
        <v>1876786.2205121438</v>
      </c>
      <c r="G28" s="94">
        <f>+'16'!$S17+'17'!$S17+'18'!$S17+'19'!$S17+'20'!$S17</f>
        <v>554371.00989858038</v>
      </c>
      <c r="H28" s="96">
        <f>+'16'!$U17/100*'16'!$U$31+'17'!$U17/100*'17'!$U$31+'18'!$U17/100*'18'!$U$31+'19'!$U17/100*'19'!$U$31+'20'!$U17/100*'20'!$U$31</f>
        <v>14944.591873763477</v>
      </c>
      <c r="I28" s="96">
        <f>+'16'!$V17/100*'16'!$V$31+'17'!$V17/100*'17'!$V$31+'18'!$V17/100*'18'!$V$31+'19'!$V17/100*'19'!$V$31+'20'!$V17/100*'20'!$V$31</f>
        <v>389519</v>
      </c>
      <c r="J28" s="96">
        <f>+'16'!$X17/100*'16'!$X$31+'17'!$X17/100*'17'!$X$31+'18'!$X17/100*'18'!$X$31+'19'!$X17/100*'19'!$X$31+'20'!$X17/100*'20'!$X$31</f>
        <v>120915</v>
      </c>
      <c r="K28" s="107">
        <f t="shared" si="1"/>
        <v>1079749.6017723437</v>
      </c>
      <c r="L28" s="94">
        <f>+'21'!$S17+'22'!$S17+'23'!$S17+'24'!$S17+'25'!$S17</f>
        <v>278014.3417254712</v>
      </c>
      <c r="M28" s="96">
        <f>+'21'!$U17/100*'21'!$U$31+'22'!$U17/100*'22'!$U$31+'23'!$U17/100*'23'!$U$31+'24'!$U17/100*'24'!$U$31+'25'!$U17/100*'25'!$U$31</f>
        <v>3040.8764940954297</v>
      </c>
      <c r="N28" s="96">
        <f>+'21'!$V17/100*'21'!$V$31+'22'!$V17/100*'22'!$V$31+'23'!$V17/100*'23'!$V$31+'24'!$V17/100*'24'!$V$31+'25'!$V17/100*'25'!$V$31</f>
        <v>319111.40617647069</v>
      </c>
      <c r="O28" s="96">
        <f>+'21'!$X17/100*'21'!$X$31+'22'!$X17/100*'22'!$X$31+'23'!$X17/100*'23'!$X$31+'24'!$X17/100*'24'!$X$31+'25'!$X17/100*'25'!$X$31</f>
        <v>135227</v>
      </c>
      <c r="P28" s="107">
        <f t="shared" si="2"/>
        <v>735393.62439603731</v>
      </c>
      <c r="Q28" s="94">
        <f>+'26'!$S17+'27'!$S17+'28'!$S17+'29'!$S17+'30'!$S17+'31'!$S17+'32'!$S17</f>
        <v>676652.54242422548</v>
      </c>
      <c r="R28" s="96">
        <f>+'26'!$U17/100*'26'!$U$31+'27'!$U17/100*'27'!$U$31+'28'!$U17/100*'28'!$U$31+'29'!$U17/100*'29'!$U$31+'30'!$U17/100*'30'!$U$31+'31'!$U17/100*'31'!$U$31+'32'!$U17/100*'32'!$U$31</f>
        <v>1236.94</v>
      </c>
      <c r="S28" s="96">
        <f>+'26'!$V17/100*'26'!$V$31+'27'!$V17/100*'27'!$V$31+'28'!$V17/100*'28'!$V$31+'29'!$V17/100*'29'!$V$31+'30'!$V17/100*'30'!$V$31+'31'!$V17/100*'31'!$V$31+'32'!$V17/100*'32'!$V$31</f>
        <v>211821.34999999998</v>
      </c>
      <c r="T28" s="96">
        <f>+'26'!$X17/100*'26'!$X$31+'27'!$X17/100*'27'!$X$31+'28'!$X17/100*'28'!$X$31+'29'!$X17/100*'29'!$X$31+'30'!$X17/100*'30'!$X$31+'31'!$X17/100*'31'!$X$31+'32'!$X17/100*'32'!$X$31</f>
        <v>88792</v>
      </c>
      <c r="U28" s="107">
        <f t="shared" si="3"/>
        <v>978502.8324242254</v>
      </c>
      <c r="V28" s="94">
        <f>+'33'!$S17+'34'!$S17+'35'!$S17+'36'!$S17+'37'!$S17+'38'!$S17+'39'!$S17+'40'!$S17+'41'!$S17</f>
        <v>2637368.5908811525</v>
      </c>
      <c r="W28" s="96">
        <f>+'33'!$U17/100*'33'!$U$31+'34'!$U17/100*'34'!$U$31+'35'!$U17/100*'35'!$U$31+'36'!$U17/100*'36'!$U$31+'37'!$U17/100*'37'!$U$31+'38'!$U17/100*'38'!$U$31+'39'!$U17/100*'39'!$U$31+'40'!$U17/100*'40'!$U$31+'41'!$U17/100*'41'!$U$31</f>
        <v>49346.303320865474</v>
      </c>
      <c r="X28" s="96">
        <f>+'33'!$V17/100*'33'!$V$31+'34'!$V17/100*'34'!$V$31+'35'!$V17/100*'35'!$V$31+'36'!$V17/100*'36'!$V$31+'37'!$V17/100*'37'!$V$31+'38'!$V17/100*'38'!$V$31+'39'!$V17/100*'39'!$V$31+'40'!$V17/100*'40'!$V$31+'41'!$V17/100*'41'!$V$31</f>
        <v>1212206.9300000002</v>
      </c>
      <c r="Y28" s="96">
        <f>+'33'!$X17/100*'33'!$X$31+'34'!$X17/100*'34'!$X$31+'35'!$X17/100*'35'!$X$31+'36'!$X17/100*'36'!$X$31+'37'!$X17/100*'37'!$X$31+'38'!$X17/100*'38'!$X$31+'39'!$X17/100*'39'!$X$31+'40'!$X17/100*'40'!$X$31+'41'!$X17/100*'41'!$X$31</f>
        <v>428612</v>
      </c>
      <c r="Z28" s="97">
        <f t="shared" si="4"/>
        <v>3898921.8242020183</v>
      </c>
      <c r="AA28" s="94">
        <f>'42'!$S17+'43'!$S17+'44'!$S17+'45'!$S17</f>
        <v>919378.39999999991</v>
      </c>
      <c r="AB28" s="96">
        <f>'42'!$U17/100*'42'!$U$31+'43'!$U17/100*'43'!$U$31+'44'!$U17/100*'44'!$U$31+'45'!$U17/100*'45'!$U$31</f>
        <v>20443.550000000003</v>
      </c>
      <c r="AC28" s="96">
        <f>'42'!$V17/100*'42'!$V$31+'43'!$V17/100*'43'!$V$31+'44'!$V17/100*'44'!$V$31+'45'!$V17/100*'45'!$V$31</f>
        <v>303998.58</v>
      </c>
      <c r="AD28" s="96">
        <f>'42'!$X17/100*'42'!$X$31+'43'!$X17/100*'43'!$X$31+'44'!$X17/100*'44'!$X$31+'45'!$X17/100*'45'!$X$31</f>
        <v>65571</v>
      </c>
      <c r="AE28" s="97">
        <f t="shared" si="5"/>
        <v>1243820.53</v>
      </c>
    </row>
    <row r="29" spans="1:31" x14ac:dyDescent="0.25">
      <c r="A29" s="70"/>
      <c r="F29" s="96"/>
      <c r="G29" s="66"/>
      <c r="H29" s="10"/>
      <c r="K29" s="107"/>
      <c r="P29" s="107"/>
      <c r="U29" s="107"/>
      <c r="Z29" s="97"/>
      <c r="AA29" s="79"/>
      <c r="AB29" s="79"/>
      <c r="AC29" s="79"/>
      <c r="AD29" s="79"/>
      <c r="AE29" s="97"/>
    </row>
    <row r="30" spans="1:31" x14ac:dyDescent="0.25">
      <c r="A30" s="70" t="s">
        <v>38</v>
      </c>
      <c r="B30" s="94">
        <f>+'6'!S18+'7'!S18+'8'!S18+'9'!S18+'10'!S18+'11'!S18+'12'!S18+'13'!S18+'14'!S18+'15'!S18</f>
        <v>0</v>
      </c>
      <c r="C30" s="96">
        <f>+'6'!U18/100*'6'!$U$31+'7'!U18/100*'7'!$U$31+'8'!U18/100*'8'!$U$31+'9'!U18/100*'9'!$U$31+'10'!U18/100*'10'!$U$31+'11'!U18/100*'11'!$U$31+'12'!U18/100*'12'!$U$31+'13'!U18/100*'13'!$U$31+'14'!U18/100*'14'!$U$31+'15'!U18/100*'15'!$U$31</f>
        <v>148782.88499680872</v>
      </c>
      <c r="D30" s="96">
        <f>+'6'!V18/100*'6'!$V$31+'7'!V18/100*'7'!$V$31+'8'!V18/100*'8'!$V$31+'9'!V18/100*'9'!$V$31+'10'!V18/100*'10'!$V$31+'11'!V18/100*'11'!$V$31+'12'!V18/100*'12'!$V$31+'13'!V18/100*'13'!$V$31+'14'!V18/100*'14'!$V$31+'15'!V18/100*'15'!$V$31</f>
        <v>0</v>
      </c>
      <c r="E30" s="96">
        <f>+'6'!X18/100*'6'!$X$31+'7'!X18/100*'7'!$X$31+'8'!X18/100*'8'!$X$31+'9'!X18/100*'9'!$X$31+'10'!X18/100*'10'!$X$31+'11'!X18/100*'11'!$X$31+'12'!X18/100*'12'!$X$31+'13'!X18/100*'13'!$X$31+'14'!X18/100*'14'!$X$31+'15'!X18/100*'15'!$X$31</f>
        <v>0</v>
      </c>
      <c r="F30" s="96">
        <f t="shared" si="0"/>
        <v>148782.88499680872</v>
      </c>
      <c r="G30" s="94">
        <f>+'16'!$S18+'17'!$S18+'18'!$S18+'19'!$S18+'20'!$S18</f>
        <v>0</v>
      </c>
      <c r="H30" s="96">
        <f>+'16'!$U18/100*'16'!$U$31+'17'!$U18/100*'17'!$U$31+'18'!$U18/100*'18'!$U$31+'19'!$U18/100*'19'!$U$31+'20'!$U18/100*'20'!$U$31</f>
        <v>26960.11</v>
      </c>
      <c r="I30" s="96">
        <f>+'16'!$V18/100*'16'!$V$31+'17'!$V18/100*'17'!$V$31+'18'!$V18/100*'18'!$V$31+'19'!$V18/100*'19'!$V$31+'20'!$V18/100*'20'!$V$31</f>
        <v>0</v>
      </c>
      <c r="J30" s="96">
        <f>+'16'!$X18/100*'16'!$X$31+'17'!$X18/100*'17'!$X$31+'18'!$X18/100*'18'!$X$31+'19'!$X18/100*'19'!$X$31+'20'!$X18/100*'20'!$X$31</f>
        <v>0</v>
      </c>
      <c r="K30" s="107">
        <f t="shared" si="1"/>
        <v>26960.11</v>
      </c>
      <c r="L30" s="94">
        <f>+'21'!$S18+'22'!$S18+'23'!$S18+'24'!$S18+'25'!$S18</f>
        <v>0</v>
      </c>
      <c r="M30" s="96">
        <f>+'21'!$U18/100*'21'!$U$31+'22'!$U18/100*'22'!$U$31+'23'!$U18/100*'23'!$U$31+'24'!$U18/100*'24'!$U$31+'25'!$U18/100*'25'!$U$31</f>
        <v>37419.253828966277</v>
      </c>
      <c r="N30" s="96">
        <f>+'21'!$V18/100*'21'!$V$31+'22'!$V18/100*'22'!$V$31+'23'!$V18/100*'23'!$V$31+'24'!$V18/100*'24'!$V$31+'25'!$V18/100*'25'!$V$31</f>
        <v>0</v>
      </c>
      <c r="O30" s="96">
        <f>+'21'!$X18/100*'21'!$X$31+'22'!$X18/100*'22'!$X$31+'23'!$X18/100*'23'!$X$31+'24'!$X18/100*'24'!$X$31+'25'!$X18/100*'25'!$X$31</f>
        <v>0</v>
      </c>
      <c r="P30" s="107">
        <f t="shared" si="2"/>
        <v>37419.253828966277</v>
      </c>
      <c r="Q30" s="94">
        <f>+'26'!$S18+'27'!$S18+'28'!$S18+'29'!$S18+'30'!$S18+'31'!$S18+'32'!$S18</f>
        <v>0</v>
      </c>
      <c r="R30" s="96">
        <f>+'26'!$U18/100*'26'!$U$31+'27'!$U18/100*'27'!$U$31+'28'!$U18/100*'28'!$U$31+'29'!$U18/100*'29'!$U$31+'30'!$U18/100*'30'!$U$31+'31'!$U18/100*'31'!$U$31+'32'!$U18/100*'32'!$U$31</f>
        <v>25778.056769610375</v>
      </c>
      <c r="S30" s="96">
        <f>+'26'!$V18/100*'26'!$V$31+'27'!$V18/100*'27'!$V$31+'28'!$V18/100*'28'!$V$31+'29'!$V18/100*'29'!$V$31+'30'!$V18/100*'30'!$V$31+'31'!$V18/100*'31'!$V$31+'32'!$V18/100*'32'!$V$31</f>
        <v>0</v>
      </c>
      <c r="T30" s="96">
        <f>+'26'!$X18/100*'26'!$X$31+'27'!$X18/100*'27'!$X$31+'28'!$X18/100*'28'!$X$31+'29'!$X18/100*'29'!$X$31+'30'!$X18/100*'30'!$X$31+'31'!$X18/100*'31'!$X$31+'32'!$X18/100*'32'!$X$31</f>
        <v>0</v>
      </c>
      <c r="U30" s="107">
        <f t="shared" si="3"/>
        <v>25778.056769610375</v>
      </c>
      <c r="V30" s="94">
        <f>+'33'!$S18+'34'!$S18+'35'!$S18+'36'!$S18+'37'!$S18+'38'!$S18+'39'!$S18+'40'!$S18+'41'!$S18</f>
        <v>0</v>
      </c>
      <c r="W30" s="96">
        <f>+'33'!$U18/100*'33'!$U$31+'34'!$U18/100*'34'!$U$31+'35'!$U18/100*'35'!$U$31+'36'!$U18/100*'36'!$U$31+'37'!$U18/100*'37'!$U$31+'38'!$U18/100*'38'!$U$31+'39'!$U18/100*'39'!$U$31+'40'!$U18/100*'40'!$U$31+'41'!$U18/100*'41'!$U$31</f>
        <v>128060.4</v>
      </c>
      <c r="X30" s="96">
        <f>+'33'!$V18/100*'33'!$V$31+'34'!$V18/100*'34'!$V$31+'35'!$V18/100*'35'!$V$31+'36'!$V18/100*'36'!$V$31+'37'!$V18/100*'37'!$V$31+'38'!$V18/100*'38'!$V$31+'39'!$V18/100*'39'!$V$31+'40'!$V18/100*'40'!$V$31+'41'!$V18/100*'41'!$V$31</f>
        <v>0</v>
      </c>
      <c r="Y30" s="96">
        <f>+'33'!$X18/100*'33'!$X$31+'34'!$X18/100*'34'!$X$31+'35'!$X18/100*'35'!$X$31+'36'!$X18/100*'36'!$X$31+'37'!$X18/100*'37'!$X$31+'38'!$X18/100*'38'!$X$31+'39'!$X18/100*'39'!$X$31+'40'!$X18/100*'40'!$X$31+'41'!$X18/100*'41'!$X$31</f>
        <v>0</v>
      </c>
      <c r="Z30" s="97">
        <f t="shared" si="4"/>
        <v>128060.4</v>
      </c>
      <c r="AA30" s="94">
        <f>'42'!$S18+'43'!$S18+'44'!$S18+'45'!$S18</f>
        <v>0</v>
      </c>
      <c r="AB30" s="96">
        <f>'42'!$U18/100*'42'!$U$31+'43'!$U18/100*'43'!$U$31+'44'!$U18/100*'44'!$U$31+'45'!$U18/100*'45'!$U$31</f>
        <v>31739.350000000002</v>
      </c>
      <c r="AC30" s="96">
        <f>'42'!$V18/100*'42'!$V$31+'43'!$V18/100*'43'!$V$31+'44'!$V18/100*'44'!$V$31+'45'!$V18/100*'45'!$V$31</f>
        <v>0</v>
      </c>
      <c r="AD30" s="96">
        <f>'42'!$X18/100*'42'!$X$31+'43'!$X18/100*'43'!$X$31+'44'!$X18/100*'44'!$X$31+'45'!$X18/100*'45'!$X$31</f>
        <v>0</v>
      </c>
      <c r="AE30" s="97">
        <f t="shared" si="5"/>
        <v>31739.350000000002</v>
      </c>
    </row>
    <row r="31" spans="1:31" x14ac:dyDescent="0.25">
      <c r="A31" s="70"/>
      <c r="B31" s="94"/>
      <c r="C31" s="96"/>
      <c r="D31" s="96"/>
      <c r="E31" s="96"/>
      <c r="F31" s="96"/>
      <c r="G31" s="94"/>
      <c r="H31" s="96"/>
      <c r="I31" s="96"/>
      <c r="J31" s="96"/>
      <c r="K31" s="107"/>
      <c r="P31" s="107"/>
      <c r="U31" s="107"/>
      <c r="Z31" s="97"/>
      <c r="AA31" s="79"/>
      <c r="AB31" s="79"/>
      <c r="AC31" s="79"/>
      <c r="AD31" s="79"/>
      <c r="AE31" s="97"/>
    </row>
    <row r="32" spans="1:31" x14ac:dyDescent="0.25">
      <c r="A32" s="70" t="s">
        <v>39</v>
      </c>
      <c r="B32" s="94">
        <f>+'6'!S19+'7'!S19+'8'!S19+'9'!S19+'10'!S19+'11'!S19+'12'!S19+'13'!S19+'14'!S19+'15'!S19</f>
        <v>0</v>
      </c>
      <c r="C32" s="96">
        <f>+'6'!U19/100*'6'!$U$31+'7'!U19/100*'7'!$U$31+'8'!U19/100*'8'!$U$31+'9'!U19/100*'9'!$U$31+'10'!U19/100*'10'!$U$31+'11'!U19/100*'11'!$U$31+'12'!U19/100*'12'!$U$31+'13'!U19/100*'13'!$U$31+'14'!U19/100*'14'!$U$31+'15'!U19/100*'15'!$U$31</f>
        <v>468026.49918461655</v>
      </c>
      <c r="D32" s="96">
        <f>+'6'!V19/100*'6'!$V$31+'7'!V19/100*'7'!$V$31+'8'!V19/100*'8'!$V$31+'9'!V19/100*'9'!$V$31+'10'!V19/100*'10'!$V$31+'11'!V19/100*'11'!$V$31+'12'!V19/100*'12'!$V$31+'13'!V19/100*'13'!$V$31+'14'!V19/100*'14'!$V$31+'15'!V19/100*'15'!$V$31</f>
        <v>0</v>
      </c>
      <c r="E32" s="96">
        <f>+'6'!X19/100*'6'!$X$31+'7'!X19/100*'7'!$X$31+'8'!X19/100*'8'!$X$31+'9'!X19/100*'9'!$X$31+'10'!X19/100*'10'!$X$31+'11'!X19/100*'11'!$X$31+'12'!X19/100*'12'!$X$31+'13'!X19/100*'13'!$X$31+'14'!X19/100*'14'!$X$31+'15'!X19/100*'15'!$X$31</f>
        <v>0</v>
      </c>
      <c r="F32" s="96">
        <f t="shared" si="0"/>
        <v>468026.49918461655</v>
      </c>
      <c r="G32" s="94">
        <f>+'16'!$S19+'17'!$S19+'18'!$S19+'19'!$S19+'20'!$S19</f>
        <v>0</v>
      </c>
      <c r="H32" s="96">
        <f>+'16'!$U19/100*'16'!$U$31+'17'!$U19/100*'17'!$U$31+'18'!$U19/100*'18'!$U$31+'19'!$U19/100*'19'!$U$31+'20'!$U19/100*'20'!$U$31</f>
        <v>206675.81236232221</v>
      </c>
      <c r="I32" s="96">
        <f>+'16'!$V19/100*'16'!$V$31+'17'!$V19/100*'17'!$V$31+'18'!$V19/100*'18'!$V$31+'19'!$V19/100*'19'!$V$31+'20'!$V19/100*'20'!$V$31</f>
        <v>0</v>
      </c>
      <c r="J32" s="96">
        <f>+'16'!$X19/100*'16'!$X$31+'17'!$X19/100*'17'!$X$31+'18'!$X19/100*'18'!$X$31+'19'!$X19/100*'19'!$X$31+'20'!$X19/100*'20'!$X$31</f>
        <v>0</v>
      </c>
      <c r="K32" s="107">
        <f t="shared" si="1"/>
        <v>206675.81236232221</v>
      </c>
      <c r="L32" s="94">
        <f>+'21'!$S19+'22'!$S19+'23'!$S19+'24'!$S19+'25'!$S19</f>
        <v>0</v>
      </c>
      <c r="M32" s="96">
        <f>+'21'!$U19/100*'21'!$U$31+'22'!$U19/100*'22'!$U$31+'23'!$U19/100*'23'!$U$31+'24'!$U19/100*'24'!$U$31+'25'!$U19/100*'25'!$U$31</f>
        <v>119853.72083915578</v>
      </c>
      <c r="N32" s="96">
        <f>+'21'!$V19/100*'21'!$V$31+'22'!$V19/100*'22'!$V$31+'23'!$V19/100*'23'!$V$31+'24'!$V19/100*'24'!$V$31+'25'!$V19/100*'25'!$V$31</f>
        <v>0</v>
      </c>
      <c r="O32" s="96">
        <f>+'21'!$X19/100*'21'!$X$31+'22'!$X19/100*'22'!$X$31+'23'!$X19/100*'23'!$X$31+'24'!$X19/100*'24'!$X$31+'25'!$X19/100*'25'!$X$31</f>
        <v>0</v>
      </c>
      <c r="P32" s="107">
        <f t="shared" si="2"/>
        <v>119853.72083915578</v>
      </c>
      <c r="Q32" s="94">
        <f>+'26'!$S19+'27'!$S19+'28'!$S19+'29'!$S19+'30'!$S19+'31'!$S19+'32'!$S19</f>
        <v>0</v>
      </c>
      <c r="R32" s="96">
        <f>+'26'!$U19/100*'26'!$U$31+'27'!$U19/100*'27'!$U$31+'28'!$U19/100*'28'!$U$31+'29'!$U19/100*'29'!$U$31+'30'!$U19/100*'30'!$U$31+'31'!$U19/100*'31'!$U$31+'32'!$U19/100*'32'!$U$31</f>
        <v>264928.24269976898</v>
      </c>
      <c r="S32" s="96">
        <f>+'26'!$V19/100*'26'!$V$31+'27'!$V19/100*'27'!$V$31+'28'!$V19/100*'28'!$V$31+'29'!$V19/100*'29'!$V$31+'30'!$V19/100*'30'!$V$31+'31'!$V19/100*'31'!$V$31+'32'!$V19/100*'32'!$V$31</f>
        <v>0</v>
      </c>
      <c r="T32" s="96">
        <f>+'26'!$X19/100*'26'!$X$31+'27'!$X19/100*'27'!$X$31+'28'!$X19/100*'28'!$X$31+'29'!$X19/100*'29'!$X$31+'30'!$X19/100*'30'!$X$31+'31'!$X19/100*'31'!$X$31+'32'!$X19/100*'32'!$X$31</f>
        <v>0</v>
      </c>
      <c r="U32" s="107">
        <f t="shared" si="3"/>
        <v>264928.24269976898</v>
      </c>
      <c r="V32" s="94">
        <f>+'33'!$S19+'34'!$S19+'35'!$S19+'36'!$S19+'37'!$S19+'38'!$S19+'39'!$S19+'40'!$S19+'41'!$S19</f>
        <v>0</v>
      </c>
      <c r="W32" s="96">
        <f>+'33'!$U19/100*'33'!$U$31+'34'!$U19/100*'34'!$U$31+'35'!$U19/100*'35'!$U$31+'36'!$U19/100*'36'!$U$31+'37'!$U19/100*'37'!$U$31+'38'!$U19/100*'38'!$U$31+'39'!$U19/100*'39'!$U$31+'40'!$U19/100*'40'!$U$31+'41'!$U19/100*'41'!$U$31</f>
        <v>653686.82936164294</v>
      </c>
      <c r="X32" s="96">
        <f>+'33'!$V19/100*'33'!$V$31+'34'!$V19/100*'34'!$V$31+'35'!$V19/100*'35'!$V$31+'36'!$V19/100*'36'!$V$31+'37'!$V19/100*'37'!$V$31+'38'!$V19/100*'38'!$V$31+'39'!$V19/100*'39'!$V$31+'40'!$V19/100*'40'!$V$31+'41'!$V19/100*'41'!$V$31</f>
        <v>0</v>
      </c>
      <c r="Y32" s="96">
        <f>+'33'!$X19/100*'33'!$X$31+'34'!$X19/100*'34'!$X$31+'35'!$X19/100*'35'!$X$31+'36'!$X19/100*'36'!$X$31+'37'!$X19/100*'37'!$X$31+'38'!$X19/100*'38'!$X$31+'39'!$X19/100*'39'!$X$31+'40'!$X19/100*'40'!$X$31+'41'!$X19/100*'41'!$X$31</f>
        <v>0</v>
      </c>
      <c r="Z32" s="97">
        <f t="shared" si="4"/>
        <v>653686.82936164294</v>
      </c>
      <c r="AA32" s="94">
        <f>'42'!$S19+'43'!$S19+'44'!$S19+'45'!$S19</f>
        <v>0</v>
      </c>
      <c r="AB32" s="96">
        <f>'42'!$U19/100*'42'!$U$31+'43'!$U19/100*'43'!$U$31+'44'!$U19/100*'44'!$U$31+'45'!$U19/100*'45'!$U$31</f>
        <v>119034.6941580617</v>
      </c>
      <c r="AC32" s="96">
        <f>'42'!$V19/100*'42'!$V$31+'43'!$V19/100*'43'!$V$31+'44'!$V19/100*'44'!$V$31+'45'!$V19/100*'45'!$V$31</f>
        <v>0</v>
      </c>
      <c r="AD32" s="96">
        <f>'42'!$X19/100*'42'!$X$31+'43'!$X19/100*'43'!$X$31+'44'!$X19/100*'44'!$X$31+'45'!$X19/100*'45'!$X$31</f>
        <v>0</v>
      </c>
      <c r="AE32" s="97">
        <f t="shared" si="5"/>
        <v>119034.6941580617</v>
      </c>
    </row>
    <row r="33" spans="1:31" x14ac:dyDescent="0.25">
      <c r="A33" s="70"/>
      <c r="B33" s="94"/>
      <c r="C33" s="96"/>
      <c r="D33" s="96"/>
      <c r="E33" s="96"/>
      <c r="F33" s="96"/>
      <c r="G33" s="66"/>
      <c r="H33" s="10"/>
      <c r="K33" s="107"/>
      <c r="P33" s="107"/>
      <c r="U33" s="107"/>
      <c r="Z33" s="97"/>
      <c r="AA33" s="79"/>
      <c r="AB33" s="79"/>
      <c r="AC33" s="79"/>
      <c r="AD33" s="79"/>
      <c r="AE33" s="97"/>
    </row>
    <row r="34" spans="1:31" x14ac:dyDescent="0.25">
      <c r="A34" s="70" t="s">
        <v>40</v>
      </c>
      <c r="B34" s="94">
        <f>+'6'!S20+'7'!S20+'8'!S20+'9'!S20+'10'!S20+'11'!S20+'12'!S20+'13'!S20+'14'!S20+'15'!S20</f>
        <v>0</v>
      </c>
      <c r="C34" s="96">
        <f>+'6'!U20/100*'6'!$U$31+'7'!U20/100*'7'!$U$31+'8'!U20/100*'8'!$U$31+'9'!U20/100*'9'!$U$31+'10'!U20/100*'10'!$U$31+'11'!U20/100*'11'!$U$31+'12'!U20/100*'12'!$U$31+'13'!U20/100*'13'!$U$31+'14'!U20/100*'14'!$U$31+'15'!U20/100*'15'!$U$31</f>
        <v>1090485.6533225628</v>
      </c>
      <c r="D34" s="96">
        <f>+'6'!V20/100*'6'!$V$31+'7'!V20/100*'7'!$V$31+'8'!V20/100*'8'!$V$31+'9'!V20/100*'9'!$V$31+'10'!V20/100*'10'!$V$31+'11'!V20/100*'11'!$V$31+'12'!V20/100*'12'!$V$31+'13'!V20/100*'13'!$V$31+'14'!V20/100*'14'!$V$31+'15'!V20/100*'15'!$V$31</f>
        <v>0</v>
      </c>
      <c r="E34" s="96">
        <f>+'6'!X20/100*'6'!$X$31+'7'!X20/100*'7'!$X$31+'8'!X20/100*'8'!$X$31+'9'!X20/100*'9'!$X$31+'10'!X20/100*'10'!$X$31+'11'!X20/100*'11'!$X$31+'12'!X20/100*'12'!$X$31+'13'!X20/100*'13'!$X$31+'14'!X20/100*'14'!$X$31+'15'!X20/100*'15'!$X$31</f>
        <v>0</v>
      </c>
      <c r="F34" s="96">
        <f t="shared" si="0"/>
        <v>1090485.6533225628</v>
      </c>
      <c r="G34" s="94">
        <f>+'16'!$S20+'17'!$S20+'18'!$S20+'19'!$S20+'20'!$S20</f>
        <v>0</v>
      </c>
      <c r="H34" s="96">
        <f>+'16'!$U20/100*'16'!$U$31+'17'!$U20/100*'17'!$U$31+'18'!$U20/100*'18'!$U$31+'19'!$U20/100*'19'!$U$31+'20'!$U20/100*'20'!$U$31</f>
        <v>229025.7532286905</v>
      </c>
      <c r="I34" s="96">
        <f>+'16'!$V20/100*'16'!$V$31+'17'!$V20/100*'17'!$V$31+'18'!$V20/100*'18'!$V$31+'19'!$V20/100*'19'!$V$31+'20'!$V20/100*'20'!$V$31</f>
        <v>0</v>
      </c>
      <c r="J34" s="96">
        <f>+'16'!$X20/100*'16'!$X$31+'17'!$X20/100*'17'!$X$31+'18'!$X20/100*'18'!$X$31+'19'!$X20/100*'19'!$X$31+'20'!$X20/100*'20'!$X$31</f>
        <v>0</v>
      </c>
      <c r="K34" s="107">
        <f t="shared" si="1"/>
        <v>229025.7532286905</v>
      </c>
      <c r="L34" s="94">
        <f>+'21'!$S20+'22'!$S20+'23'!$S20+'24'!$S20+'25'!$S20</f>
        <v>0</v>
      </c>
      <c r="M34" s="96">
        <f>+'21'!$U20/100*'21'!$U$31+'22'!$U20/100*'22'!$U$31+'23'!$U20/100*'23'!$U$31+'24'!$U20/100*'24'!$U$31+'25'!$U20/100*'25'!$U$31</f>
        <v>828625.97890345869</v>
      </c>
      <c r="N34" s="96">
        <f>+'21'!$V20/100*'21'!$V$31+'22'!$V20/100*'22'!$V$31+'23'!$V20/100*'23'!$V$31+'24'!$V20/100*'24'!$V$31+'25'!$V20/100*'25'!$V$31</f>
        <v>0</v>
      </c>
      <c r="O34" s="96">
        <f>+'21'!$X20/100*'21'!$X$31+'22'!$X20/100*'22'!$X$31+'23'!$X20/100*'23'!$X$31+'24'!$X20/100*'24'!$X$31+'25'!$X20/100*'25'!$X$31</f>
        <v>0</v>
      </c>
      <c r="P34" s="107">
        <f t="shared" si="2"/>
        <v>828625.97890345869</v>
      </c>
      <c r="Q34" s="94">
        <f>+'26'!$S20+'27'!$S20+'28'!$S20+'29'!$S20+'30'!$S20+'31'!$S20+'32'!$S20</f>
        <v>0</v>
      </c>
      <c r="R34" s="96">
        <f>+'26'!$U20/100*'26'!$U$31+'27'!$U20/100*'27'!$U$31+'28'!$U20/100*'28'!$U$31+'29'!$U20/100*'29'!$U$31+'30'!$U20/100*'30'!$U$31+'31'!$U20/100*'31'!$U$31+'32'!$U20/100*'32'!$U$31</f>
        <v>306600.17425210617</v>
      </c>
      <c r="S34" s="96">
        <f>+'26'!$V20/100*'26'!$V$31+'27'!$V20/100*'27'!$V$31+'28'!$V20/100*'28'!$V$31+'29'!$V20/100*'29'!$V$31+'30'!$V20/100*'30'!$V$31+'31'!$V20/100*'31'!$V$31+'32'!$V20/100*'32'!$V$31</f>
        <v>0</v>
      </c>
      <c r="T34" s="96">
        <f>+'26'!$X20/100*'26'!$X$31+'27'!$X20/100*'27'!$X$31+'28'!$X20/100*'28'!$X$31+'29'!$X20/100*'29'!$X$31+'30'!$X20/100*'30'!$X$31+'31'!$X20/100*'31'!$X$31+'32'!$X20/100*'32'!$X$31</f>
        <v>0</v>
      </c>
      <c r="U34" s="107">
        <f t="shared" si="3"/>
        <v>306600.17425210617</v>
      </c>
      <c r="V34" s="94">
        <f>+'33'!$S20+'34'!$S20+'35'!$S20+'36'!$S20+'37'!$S20+'38'!$S20+'39'!$S20+'40'!$S20+'41'!$S20</f>
        <v>0</v>
      </c>
      <c r="W34" s="96">
        <f>+'33'!$U20/100*'33'!$U$31+'34'!$U20/100*'34'!$U$31+'35'!$U20/100*'35'!$U$31+'36'!$U20/100*'36'!$U$31+'37'!$U20/100*'37'!$U$31+'38'!$U20/100*'38'!$U$31+'39'!$U20/100*'39'!$U$31+'40'!$U20/100*'40'!$U$31+'41'!$U20/100*'41'!$U$31</f>
        <v>164922.72</v>
      </c>
      <c r="X34" s="96">
        <f>+'33'!$V20/100*'33'!$V$31+'34'!$V20/100*'34'!$V$31+'35'!$V20/100*'35'!$V$31+'36'!$V20/100*'36'!$V$31+'37'!$V20/100*'37'!$V$31+'38'!$V20/100*'38'!$V$31+'39'!$V20/100*'39'!$V$31+'40'!$V20/100*'40'!$V$31+'41'!$V20/100*'41'!$V$31</f>
        <v>0</v>
      </c>
      <c r="Y34" s="96">
        <f>+'33'!$X20/100*'33'!$X$31+'34'!$X20/100*'34'!$X$31+'35'!$X20/100*'35'!$X$31+'36'!$X20/100*'36'!$X$31+'37'!$X20/100*'37'!$X$31+'38'!$X20/100*'38'!$X$31+'39'!$X20/100*'39'!$X$31+'40'!$X20/100*'40'!$X$31+'41'!$X20/100*'41'!$X$31</f>
        <v>0</v>
      </c>
      <c r="Z34" s="97">
        <f t="shared" si="4"/>
        <v>164922.72</v>
      </c>
      <c r="AA34" s="94">
        <f>'42'!$S20+'43'!$S20+'44'!$S20+'45'!$S20</f>
        <v>0</v>
      </c>
      <c r="AB34" s="96">
        <f>'42'!$U20/100*'42'!$U$31+'43'!$U20/100*'43'!$U$31+'44'!$U20/100*'44'!$U$31+'45'!$U20/100*'45'!$U$31</f>
        <v>15560.47325243603</v>
      </c>
      <c r="AC34" s="96">
        <f>'42'!$V20/100*'42'!$V$31+'43'!$V20/100*'43'!$V$31+'44'!$V20/100*'44'!$V$31+'45'!$V20/100*'45'!$V$31</f>
        <v>0</v>
      </c>
      <c r="AD34" s="96">
        <f>'42'!$X20/100*'42'!$X$31+'43'!$X20/100*'43'!$X$31+'44'!$X20/100*'44'!$X$31+'45'!$X20/100*'45'!$X$31</f>
        <v>0</v>
      </c>
      <c r="AE34" s="97">
        <f t="shared" si="5"/>
        <v>15560.47325243603</v>
      </c>
    </row>
    <row r="35" spans="1:31" x14ac:dyDescent="0.25">
      <c r="A35" s="70"/>
      <c r="B35" s="94"/>
      <c r="C35" s="96"/>
      <c r="D35" s="96"/>
      <c r="E35" s="96"/>
      <c r="F35" s="96"/>
      <c r="G35" s="94"/>
      <c r="H35" s="96"/>
      <c r="I35" s="96"/>
      <c r="J35" s="96"/>
      <c r="K35" s="107"/>
      <c r="P35" s="107"/>
      <c r="U35" s="107"/>
      <c r="Z35" s="97"/>
      <c r="AA35" s="79"/>
      <c r="AB35" s="79"/>
      <c r="AC35" s="79"/>
      <c r="AD35" s="79"/>
      <c r="AE35" s="97"/>
    </row>
    <row r="36" spans="1:31" x14ac:dyDescent="0.25">
      <c r="A36" s="70" t="s">
        <v>41</v>
      </c>
      <c r="B36" s="94">
        <f>+'6'!S21+'7'!S21+'8'!S21+'9'!S21+'10'!S21+'11'!S21+'12'!S21+'13'!S21+'14'!S21+'15'!S21</f>
        <v>0</v>
      </c>
      <c r="C36" s="96">
        <f>+'6'!U21/100*'6'!$U$31+'7'!U21/100*'7'!$U$31+'8'!U21/100*'8'!$U$31+'9'!U21/100*'9'!$U$31+'10'!U21/100*'10'!$U$31+'11'!U21/100*'11'!$U$31+'12'!U21/100*'12'!$U$31+'13'!U21/100*'13'!$U$31+'14'!U21/100*'14'!$U$31+'15'!U21/100*'15'!$U$31</f>
        <v>146444.31954850102</v>
      </c>
      <c r="D36" s="96">
        <f>+'6'!V21/100*'6'!$V$31+'7'!V21/100*'7'!$V$31+'8'!V21/100*'8'!$V$31+'9'!V21/100*'9'!$V$31+'10'!V21/100*'10'!$V$31+'11'!V21/100*'11'!$V$31+'12'!V21/100*'12'!$V$31+'13'!V21/100*'13'!$V$31+'14'!V21/100*'14'!$V$31+'15'!V21/100*'15'!$V$31</f>
        <v>0</v>
      </c>
      <c r="E36" s="96">
        <f>+'6'!X21/100*'6'!$X$31+'7'!X21/100*'7'!$X$31+'8'!X21/100*'8'!$X$31+'9'!X21/100*'9'!$X$31+'10'!X21/100*'10'!$X$31+'11'!X21/100*'11'!$X$31+'12'!X21/100*'12'!$X$31+'13'!X21/100*'13'!$X$31+'14'!X21/100*'14'!$X$31+'15'!X21/100*'15'!$X$31</f>
        <v>0</v>
      </c>
      <c r="F36" s="96">
        <f t="shared" si="0"/>
        <v>146444.31954850102</v>
      </c>
      <c r="G36" s="94">
        <f>+'16'!$S21+'17'!$S21+'18'!$S21+'19'!$S21+'20'!$S21</f>
        <v>0</v>
      </c>
      <c r="H36" s="96">
        <f>+'16'!$U21/100*'16'!$U$31+'17'!$U21/100*'17'!$U$31+'18'!$U21/100*'18'!$U$31+'19'!$U21/100*'19'!$U$31+'20'!$U21/100*'20'!$U$31</f>
        <v>24618.54</v>
      </c>
      <c r="I36" s="96">
        <f>+'16'!$V21/100*'16'!$V$31+'17'!$V21/100*'17'!$V$31+'18'!$V21/100*'18'!$V$31+'19'!$V21/100*'19'!$V$31+'20'!$V21/100*'20'!$V$31</f>
        <v>0</v>
      </c>
      <c r="J36" s="96">
        <f>+'16'!$X21/100*'16'!$X$31+'17'!$X21/100*'17'!$X$31+'18'!$X21/100*'18'!$X$31+'19'!$X21/100*'19'!$X$31+'20'!$X21/100*'20'!$X$31</f>
        <v>0</v>
      </c>
      <c r="K36" s="107">
        <f t="shared" si="1"/>
        <v>24618.54</v>
      </c>
      <c r="L36" s="94">
        <f>+'21'!$S21+'22'!$S21+'23'!$S21+'24'!$S21+'25'!$S21</f>
        <v>0</v>
      </c>
      <c r="M36" s="96">
        <f>+'21'!$U21/100*'21'!$U$31+'22'!$U21/100*'22'!$U$31+'23'!$U21/100*'23'!$U$31+'24'!$U21/100*'24'!$U$31+'25'!$U21/100*'25'!$U$31</f>
        <v>9347.7546923969567</v>
      </c>
      <c r="N36" s="96">
        <f>+'21'!$V21/100*'21'!$V$31+'22'!$V21/100*'22'!$V$31+'23'!$V21/100*'23'!$V$31+'24'!$V21/100*'24'!$V$31+'25'!$V21/100*'25'!$V$31</f>
        <v>0</v>
      </c>
      <c r="O36" s="96">
        <f>+'21'!$X21/100*'21'!$X$31+'22'!$X21/100*'22'!$X$31+'23'!$X21/100*'23'!$X$31+'24'!$X21/100*'24'!$X$31+'25'!$X21/100*'25'!$X$31</f>
        <v>0</v>
      </c>
      <c r="P36" s="107">
        <f t="shared" si="2"/>
        <v>9347.7546923969567</v>
      </c>
      <c r="Q36" s="94">
        <f>+'26'!$S21+'27'!$S21+'28'!$S21+'29'!$S21+'30'!$S21+'31'!$S21+'32'!$S21</f>
        <v>0</v>
      </c>
      <c r="R36" s="96">
        <f>+'26'!$U21/100*'26'!$U$31+'27'!$U21/100*'27'!$U$31+'28'!$U21/100*'28'!$U$31+'29'!$U21/100*'29'!$U$31+'30'!$U21/100*'30'!$U$31+'31'!$U21/100*'31'!$U$31+'32'!$U21/100*'32'!$U$31</f>
        <v>37124.58</v>
      </c>
      <c r="S36" s="96">
        <f>+'26'!$V21/100*'26'!$V$31+'27'!$V21/100*'27'!$V$31+'28'!$V21/100*'28'!$V$31+'29'!$V21/100*'29'!$V$31+'30'!$V21/100*'30'!$V$31+'31'!$V21/100*'31'!$V$31+'32'!$V21/100*'32'!$V$31</f>
        <v>0</v>
      </c>
      <c r="T36" s="96">
        <f>+'26'!$X21/100*'26'!$X$31+'27'!$X21/100*'27'!$X$31+'28'!$X21/100*'28'!$X$31+'29'!$X21/100*'29'!$X$31+'30'!$X21/100*'30'!$X$31+'31'!$X21/100*'31'!$X$31+'32'!$X21/100*'32'!$X$31</f>
        <v>0</v>
      </c>
      <c r="U36" s="107">
        <f t="shared" si="3"/>
        <v>37124.58</v>
      </c>
      <c r="V36" s="94">
        <f>+'33'!$S21+'34'!$S21+'35'!$S21+'36'!$S21+'37'!$S21+'38'!$S21+'39'!$S21+'40'!$S21+'41'!$S21</f>
        <v>0</v>
      </c>
      <c r="W36" s="96">
        <f>+'33'!$U21/100*'33'!$U$31+'34'!$U21/100*'34'!$U$31+'35'!$U21/100*'35'!$U$31+'36'!$U21/100*'36'!$U$31+'37'!$U21/100*'37'!$U$31+'38'!$U21/100*'38'!$U$31+'39'!$U21/100*'39'!$U$31+'40'!$U21/100*'40'!$U$31+'41'!$U21/100*'41'!$U$31</f>
        <v>10344.171200000001</v>
      </c>
      <c r="X36" s="96">
        <f>+'33'!$V21/100*'33'!$V$31+'34'!$V21/100*'34'!$V$31+'35'!$V21/100*'35'!$V$31+'36'!$V21/100*'36'!$V$31+'37'!$V21/100*'37'!$V$31+'38'!$V21/100*'38'!$V$31+'39'!$V21/100*'39'!$V$31+'40'!$V21/100*'40'!$V$31+'41'!$V21/100*'41'!$V$31</f>
        <v>0</v>
      </c>
      <c r="Y36" s="96">
        <f>+'33'!$X21/100*'33'!$X$31+'34'!$X21/100*'34'!$X$31+'35'!$X21/100*'35'!$X$31+'36'!$X21/100*'36'!$X$31+'37'!$X21/100*'37'!$X$31+'38'!$X21/100*'38'!$X$31+'39'!$X21/100*'39'!$X$31+'40'!$X21/100*'40'!$X$31+'41'!$X21/100*'41'!$X$31</f>
        <v>0</v>
      </c>
      <c r="Z36" s="97">
        <f t="shared" si="4"/>
        <v>10344.171200000001</v>
      </c>
      <c r="AA36" s="94">
        <f>'42'!$S21+'43'!$S21+'44'!$S21+'45'!$S21</f>
        <v>0</v>
      </c>
      <c r="AB36" s="96">
        <f>'42'!$U21/100*'42'!$U$31+'43'!$U21/100*'43'!$U$31+'44'!$U21/100*'44'!$U$31+'45'!$U21/100*'45'!$U$31</f>
        <v>7323.8256000000001</v>
      </c>
      <c r="AC36" s="96">
        <f>'42'!$V21/100*'42'!$V$31+'43'!$V21/100*'43'!$V$31+'44'!$V21/100*'44'!$V$31+'45'!$V21/100*'45'!$V$31</f>
        <v>0</v>
      </c>
      <c r="AD36" s="96">
        <f>'42'!$X21/100*'42'!$X$31+'43'!$X21/100*'43'!$X$31+'44'!$X21/100*'44'!$X$31+'45'!$X21/100*'45'!$X$31</f>
        <v>0</v>
      </c>
      <c r="AE36" s="97">
        <f t="shared" si="5"/>
        <v>7323.8256000000001</v>
      </c>
    </row>
    <row r="37" spans="1:31" x14ac:dyDescent="0.25">
      <c r="A37" s="70"/>
      <c r="F37" s="96"/>
      <c r="G37" s="66"/>
      <c r="H37" s="10"/>
      <c r="K37" s="107"/>
      <c r="P37" s="107"/>
      <c r="U37" s="107"/>
      <c r="Z37" s="97"/>
      <c r="AA37" s="79"/>
      <c r="AB37" s="79"/>
      <c r="AC37" s="79"/>
      <c r="AD37" s="79"/>
      <c r="AE37" s="97"/>
    </row>
    <row r="38" spans="1:31" x14ac:dyDescent="0.25">
      <c r="A38" s="70" t="s">
        <v>42</v>
      </c>
      <c r="B38" s="94">
        <f>+'6'!S22+'7'!S22+'8'!S22+'9'!S22+'10'!S22+'11'!S22+'12'!S22+'13'!S22+'14'!S22+'15'!S22</f>
        <v>0</v>
      </c>
      <c r="C38" s="96">
        <f>+'6'!U22/100*'6'!$U$31+'7'!U22/100*'7'!$U$31+'8'!U22/100*'8'!$U$31+'9'!U22/100*'9'!$U$31+'10'!U22/100*'10'!$U$31+'11'!U22/100*'11'!$U$31+'12'!U22/100*'12'!$U$31+'13'!U22/100*'13'!$U$31+'14'!U22/100*'14'!$U$31+'15'!U22/100*'15'!$U$31</f>
        <v>1666960.8574471229</v>
      </c>
      <c r="D38" s="96">
        <f>+'6'!V22/100*'6'!$V$31+'7'!V22/100*'7'!$V$31+'8'!V22/100*'8'!$V$31+'9'!V22/100*'9'!$V$31+'10'!V22/100*'10'!$V$31+'11'!V22/100*'11'!$V$31+'12'!V22/100*'12'!$V$31+'13'!V22/100*'13'!$V$31+'14'!V22/100*'14'!$V$31+'15'!V22/100*'15'!$V$31</f>
        <v>0</v>
      </c>
      <c r="E38" s="96">
        <f>+'6'!X22/100*'6'!$X$31+'7'!X22/100*'7'!$X$31+'8'!X22/100*'8'!$X$31+'9'!X22/100*'9'!$X$31+'10'!X22/100*'10'!$X$31+'11'!X22/100*'11'!$X$31+'12'!X22/100*'12'!$X$31+'13'!X22/100*'13'!$X$31+'14'!X22/100*'14'!$X$31+'15'!X22/100*'15'!$X$31</f>
        <v>0</v>
      </c>
      <c r="F38" s="96">
        <f t="shared" si="0"/>
        <v>1666960.8574471229</v>
      </c>
      <c r="G38" s="94">
        <f>+'16'!$S22+'17'!$S22+'18'!$S22+'19'!$S22+'20'!$S22</f>
        <v>0</v>
      </c>
      <c r="H38" s="96">
        <f>+'16'!$U22/100*'16'!$U$31+'17'!$U22/100*'17'!$U$31+'18'!$U22/100*'18'!$U$31+'19'!$U22/100*'19'!$U$31+'20'!$U22/100*'20'!$U$31</f>
        <v>26929.647075611305</v>
      </c>
      <c r="I38" s="96">
        <f>+'16'!$V22/100*'16'!$V$31+'17'!$V22/100*'17'!$V$31+'18'!$V22/100*'18'!$V$31+'19'!$V22/100*'19'!$V$31+'20'!$V22/100*'20'!$V$31</f>
        <v>0</v>
      </c>
      <c r="J38" s="96">
        <f>+'16'!$X22/100*'16'!$X$31+'17'!$X22/100*'17'!$X$31+'18'!$X22/100*'18'!$X$31+'19'!$X22/100*'19'!$X$31+'20'!$X22/100*'20'!$X$31</f>
        <v>0</v>
      </c>
      <c r="K38" s="107">
        <f t="shared" si="1"/>
        <v>26929.647075611305</v>
      </c>
      <c r="L38" s="94">
        <f>+'21'!$S22+'22'!$S22+'23'!$S22+'24'!$S22+'25'!$S22</f>
        <v>0</v>
      </c>
      <c r="M38" s="96">
        <f>+'21'!$U22/100*'21'!$U$31+'22'!$U22/100*'22'!$U$31+'23'!$U22/100*'23'!$U$31+'24'!$U22/100*'24'!$U$31+'25'!$U22/100*'25'!$U$31</f>
        <v>623151.87043606071</v>
      </c>
      <c r="N38" s="96">
        <f>+'21'!$V22/100*'21'!$V$31+'22'!$V22/100*'22'!$V$31+'23'!$V22/100*'23'!$V$31+'24'!$V22/100*'24'!$V$31+'25'!$V22/100*'25'!$V$31</f>
        <v>0</v>
      </c>
      <c r="O38" s="96">
        <f>+'21'!$X22/100*'21'!$X$31+'22'!$X22/100*'22'!$X$31+'23'!$X22/100*'23'!$X$31+'24'!$X22/100*'24'!$X$31+'25'!$X22/100*'25'!$X$31</f>
        <v>0</v>
      </c>
      <c r="P38" s="107">
        <f t="shared" si="2"/>
        <v>623151.87043606071</v>
      </c>
      <c r="Q38" s="94">
        <f>+'26'!$S22+'27'!$S22+'28'!$S22+'29'!$S22+'30'!$S22+'31'!$S22+'32'!$S22</f>
        <v>0</v>
      </c>
      <c r="R38" s="96">
        <f>+'26'!$U22/100*'26'!$U$31+'27'!$U22/100*'27'!$U$31+'28'!$U22/100*'28'!$U$31+'29'!$U22/100*'29'!$U$31+'30'!$U22/100*'30'!$U$31+'31'!$U22/100*'31'!$U$31+'32'!$U22/100*'32'!$U$31</f>
        <v>129936.03000000001</v>
      </c>
      <c r="S38" s="96">
        <f>+'26'!$V22/100*'26'!$V$31+'27'!$V22/100*'27'!$V$31+'28'!$V22/100*'28'!$V$31+'29'!$V22/100*'29'!$V$31+'30'!$V22/100*'30'!$V$31+'31'!$V22/100*'31'!$V$31+'32'!$V22/100*'32'!$V$31</f>
        <v>0</v>
      </c>
      <c r="T38" s="96">
        <f>+'26'!$X22/100*'26'!$X$31+'27'!$X22/100*'27'!$X$31+'28'!$X22/100*'28'!$X$31+'29'!$X22/100*'29'!$X$31+'30'!$X22/100*'30'!$X$31+'31'!$X22/100*'31'!$X$31+'32'!$X22/100*'32'!$X$31</f>
        <v>0</v>
      </c>
      <c r="U38" s="107">
        <f t="shared" si="3"/>
        <v>129936.03000000001</v>
      </c>
      <c r="V38" s="94">
        <f>+'33'!$S22+'34'!$S22+'35'!$S22+'36'!$S22+'37'!$S22+'38'!$S22+'39'!$S22+'40'!$S22+'41'!$S22</f>
        <v>0</v>
      </c>
      <c r="W38" s="96">
        <f>+'33'!$U22/100*'33'!$U$31+'34'!$U22/100*'34'!$U$31+'35'!$U22/100*'35'!$U$31+'36'!$U22/100*'36'!$U$31+'37'!$U22/100*'37'!$U$31+'38'!$U22/100*'38'!$U$31+'39'!$U22/100*'39'!$U$31+'40'!$U22/100*'40'!$U$31+'41'!$U22/100*'41'!$U$31</f>
        <v>101520.4596536023</v>
      </c>
      <c r="X38" s="96">
        <f>+'33'!$V22/100*'33'!$V$31+'34'!$V22/100*'34'!$V$31+'35'!$V22/100*'35'!$V$31+'36'!$V22/100*'36'!$V$31+'37'!$V22/100*'37'!$V$31+'38'!$V22/100*'38'!$V$31+'39'!$V22/100*'39'!$V$31+'40'!$V22/100*'40'!$V$31+'41'!$V22/100*'41'!$V$31</f>
        <v>0</v>
      </c>
      <c r="Y38" s="96">
        <f>+'33'!$X22/100*'33'!$X$31+'34'!$X22/100*'34'!$X$31+'35'!$X22/100*'35'!$X$31+'36'!$X22/100*'36'!$X$31+'37'!$X22/100*'37'!$X$31+'38'!$X22/100*'38'!$X$31+'39'!$X22/100*'39'!$X$31+'40'!$X22/100*'40'!$X$31+'41'!$X22/100*'41'!$X$31</f>
        <v>0</v>
      </c>
      <c r="Z38" s="97">
        <f t="shared" si="4"/>
        <v>101520.4596536023</v>
      </c>
      <c r="AA38" s="94">
        <f>'42'!$S22+'43'!$S22+'44'!$S22+'45'!$S22</f>
        <v>0</v>
      </c>
      <c r="AB38" s="96">
        <f>'42'!$U22/100*'42'!$U$31+'43'!$U22/100*'43'!$U$31+'44'!$U22/100*'44'!$U$31+'45'!$U22/100*'45'!$U$31</f>
        <v>18727.470543693864</v>
      </c>
      <c r="AC38" s="96">
        <f>'42'!$V22/100*'42'!$V$31+'43'!$V22/100*'43'!$V$31+'44'!$V22/100*'44'!$V$31+'45'!$V22/100*'45'!$V$31</f>
        <v>0</v>
      </c>
      <c r="AD38" s="96">
        <f>'42'!$X22/100*'42'!$X$31+'43'!$X22/100*'43'!$X$31+'44'!$X22/100*'44'!$X$31+'45'!$X22/100*'45'!$X$31</f>
        <v>0</v>
      </c>
      <c r="AE38" s="97">
        <f t="shared" si="5"/>
        <v>18727.470543693864</v>
      </c>
    </row>
    <row r="39" spans="1:31" x14ac:dyDescent="0.25">
      <c r="A39" s="70"/>
      <c r="F39" s="96"/>
      <c r="G39" s="66"/>
      <c r="H39" s="10"/>
      <c r="K39" s="107"/>
      <c r="P39" s="107"/>
      <c r="Q39" s="66"/>
      <c r="R39" s="10"/>
      <c r="S39" s="10"/>
      <c r="T39" s="10"/>
      <c r="U39" s="107"/>
      <c r="Z39" s="97"/>
      <c r="AA39" s="79"/>
      <c r="AB39" s="79"/>
      <c r="AC39" s="79"/>
      <c r="AD39" s="79"/>
      <c r="AE39" s="97"/>
    </row>
    <row r="40" spans="1:31" x14ac:dyDescent="0.25">
      <c r="A40" s="70" t="s">
        <v>43</v>
      </c>
      <c r="B40" s="94">
        <f>+'6'!S23+'7'!S23+'8'!S23+'9'!S23+'10'!S23+'11'!S23+'12'!S23+'13'!S23+'14'!S23+'15'!S23</f>
        <v>0</v>
      </c>
      <c r="C40" s="96">
        <f>+'6'!U23/100*'6'!$U$31+'7'!U23/100*'7'!$U$31+'8'!U23/100*'8'!$U$31+'9'!U23/100*'9'!$U$31+'10'!U23/100*'10'!$U$31+'11'!U23/100*'11'!$U$31+'12'!U23/100*'12'!$U$31+'13'!U23/100*'13'!$U$31+'14'!U23/100*'14'!$U$31+'15'!U23/100*'15'!$U$31</f>
        <v>764460.529604777</v>
      </c>
      <c r="D40" s="96">
        <f>+'6'!V23/100*'6'!$V$31+'7'!V23/100*'7'!$V$31+'8'!V23/100*'8'!$V$31+'9'!V23/100*'9'!$V$31+'10'!V23/100*'10'!$V$31+'11'!V23/100*'11'!$V$31+'12'!V23/100*'12'!$V$31+'13'!V23/100*'13'!$V$31+'14'!V23/100*'14'!$V$31+'15'!V23/100*'15'!$V$31</f>
        <v>0</v>
      </c>
      <c r="E40" s="96">
        <f>+'6'!X23/100*'6'!$X$31+'7'!X23/100*'7'!$X$31+'8'!X23/100*'8'!$X$31+'9'!X23/100*'9'!$X$31+'10'!X23/100*'10'!$X$31+'11'!X23/100*'11'!$X$31+'12'!X23/100*'12'!$X$31+'13'!X23/100*'13'!$X$31+'14'!X23/100*'14'!$X$31+'15'!X23/100*'15'!$X$31</f>
        <v>0</v>
      </c>
      <c r="F40" s="96">
        <f t="shared" si="0"/>
        <v>764460.529604777</v>
      </c>
      <c r="G40" s="94">
        <f>+'16'!$S23+'17'!$S23+'18'!$S23+'19'!$S23+'20'!$S23</f>
        <v>0</v>
      </c>
      <c r="H40" s="96">
        <f>+'16'!$U23/100*'16'!$U$31+'17'!$U23/100*'17'!$U$31+'18'!$U23/100*'18'!$U$31+'19'!$U23/100*'19'!$U$31+'20'!$U23/100*'20'!$U$31</f>
        <v>143222.06</v>
      </c>
      <c r="I40" s="96">
        <f>+'16'!$V23/100*'16'!$V$31+'17'!$V23/100*'17'!$V$31+'18'!$V23/100*'18'!$V$31+'19'!$V23/100*'19'!$V$31+'20'!$V23/100*'20'!$V$31</f>
        <v>0</v>
      </c>
      <c r="J40" s="96">
        <f>+'16'!$X23/100*'16'!$X$31+'17'!$X23/100*'17'!$X$31+'18'!$X23/100*'18'!$X$31+'19'!$X23/100*'19'!$X$31+'20'!$X23/100*'20'!$X$31</f>
        <v>0</v>
      </c>
      <c r="K40" s="107">
        <f t="shared" si="1"/>
        <v>143222.06</v>
      </c>
      <c r="L40" s="94">
        <f>+'21'!$S23+'22'!$S23+'23'!$S23+'24'!$S23+'25'!$S23</f>
        <v>0</v>
      </c>
      <c r="M40" s="96">
        <f>+'21'!$U23/100*'21'!$U$31+'22'!$U23/100*'22'!$U$31+'23'!$U23/100*'23'!$U$31+'24'!$U23/100*'24'!$U$31+'25'!$U23/100*'25'!$U$31</f>
        <v>234067.18046186617</v>
      </c>
      <c r="N40" s="96">
        <f>+'21'!$V23/100*'21'!$V$31+'22'!$V23/100*'22'!$V$31+'23'!$V23/100*'23'!$V$31+'24'!$V23/100*'24'!$V$31+'25'!$V23/100*'25'!$V$31</f>
        <v>0</v>
      </c>
      <c r="O40" s="96">
        <f>+'21'!$X23/100*'21'!$X$31+'22'!$X23/100*'22'!$X$31+'23'!$X23/100*'23'!$X$31+'24'!$X23/100*'24'!$X$31+'25'!$X23/100*'25'!$X$31</f>
        <v>0</v>
      </c>
      <c r="P40" s="107">
        <f t="shared" si="2"/>
        <v>234067.18046186617</v>
      </c>
      <c r="Q40" s="94">
        <f>+'26'!$S23+'27'!$S23+'28'!$S23+'29'!$S23+'30'!$S23+'31'!$S23+'32'!$S23</f>
        <v>0</v>
      </c>
      <c r="R40" s="96">
        <f>+'26'!$U23/100*'26'!$U$31+'27'!$U23/100*'27'!$U$31+'28'!$U23/100*'28'!$U$31+'29'!$U23/100*'29'!$U$31+'30'!$U23/100*'30'!$U$31+'31'!$U23/100*'31'!$U$31+'32'!$U23/100*'32'!$U$31</f>
        <v>103594.49000000002</v>
      </c>
      <c r="S40" s="96">
        <f>+'26'!$V23/100*'26'!$V$31+'27'!$V23/100*'27'!$V$31+'28'!$V23/100*'28'!$V$31+'29'!$V23/100*'29'!$V$31+'30'!$V23/100*'30'!$V$31+'31'!$V23/100*'31'!$V$31+'32'!$V23/100*'32'!$V$31</f>
        <v>0</v>
      </c>
      <c r="T40" s="96">
        <f>+'26'!$X23/100*'26'!$X$31+'27'!$X23/100*'27'!$X$31+'28'!$X23/100*'28'!$X$31+'29'!$X23/100*'29'!$X$31+'30'!$X23/100*'30'!$X$31+'31'!$X23/100*'31'!$X$31+'32'!$X23/100*'32'!$X$31</f>
        <v>0</v>
      </c>
      <c r="U40" s="107">
        <f t="shared" si="3"/>
        <v>103594.49000000002</v>
      </c>
      <c r="V40" s="94">
        <f>+'33'!$S23+'34'!$S23+'35'!$S23+'36'!$S23+'37'!$S23+'38'!$S23+'39'!$S23+'40'!$S23+'41'!$S23</f>
        <v>0</v>
      </c>
      <c r="W40" s="96">
        <f>+'33'!$U23/100*'33'!$U$31+'34'!$U23/100*'34'!$U$31+'35'!$U23/100*'35'!$U$31+'36'!$U23/100*'36'!$U$31+'37'!$U23/100*'37'!$U$31+'38'!$U23/100*'38'!$U$31+'39'!$U23/100*'39'!$U$31+'40'!$U23/100*'40'!$U$31+'41'!$U23/100*'41'!$U$31</f>
        <v>671002.59053866367</v>
      </c>
      <c r="X40" s="96">
        <f>+'33'!$V23/100*'33'!$V$31+'34'!$V23/100*'34'!$V$31+'35'!$V23/100*'35'!$V$31+'36'!$V23/100*'36'!$V$31+'37'!$V23/100*'37'!$V$31+'38'!$V23/100*'38'!$V$31+'39'!$V23/100*'39'!$V$31+'40'!$V23/100*'40'!$V$31+'41'!$V23/100*'41'!$V$31</f>
        <v>0</v>
      </c>
      <c r="Y40" s="96">
        <f>+'33'!$X23/100*'33'!$X$31+'34'!$X23/100*'34'!$X$31+'35'!$X23/100*'35'!$X$31+'36'!$X23/100*'36'!$X$31+'37'!$X23/100*'37'!$X$31+'38'!$X23/100*'38'!$X$31+'39'!$X23/100*'39'!$X$31+'40'!$X23/100*'40'!$X$31+'41'!$X23/100*'41'!$X$31</f>
        <v>0</v>
      </c>
      <c r="Z40" s="97">
        <f t="shared" si="4"/>
        <v>671002.59053866367</v>
      </c>
      <c r="AA40" s="94">
        <f>'42'!$S23+'43'!$S23+'44'!$S23+'45'!$S23</f>
        <v>0</v>
      </c>
      <c r="AB40" s="96">
        <f>'42'!$U23/100*'42'!$U$31+'43'!$U23/100*'43'!$U$31+'44'!$U23/100*'44'!$U$31+'45'!$U23/100*'45'!$U$31</f>
        <v>176304.68107245606</v>
      </c>
      <c r="AC40" s="96">
        <f>'42'!$V23/100*'42'!$V$31+'43'!$V23/100*'43'!$V$31+'44'!$V23/100*'44'!$V$31+'45'!$V23/100*'45'!$V$31</f>
        <v>0</v>
      </c>
      <c r="AD40" s="96">
        <f>'42'!$X23/100*'42'!$X$31+'43'!$X23/100*'43'!$X$31+'44'!$X23/100*'44'!$X$31+'45'!$X23/100*'45'!$X$31</f>
        <v>0</v>
      </c>
      <c r="AE40" s="97">
        <f t="shared" si="5"/>
        <v>176304.68107245606</v>
      </c>
    </row>
    <row r="41" spans="1:31" x14ac:dyDescent="0.25">
      <c r="A41" s="70"/>
      <c r="B41" s="94"/>
      <c r="C41" s="96"/>
      <c r="D41" s="96"/>
      <c r="E41" s="96"/>
      <c r="F41" s="96"/>
      <c r="G41" s="94"/>
      <c r="H41" s="96"/>
      <c r="I41" s="96"/>
      <c r="J41" s="96"/>
      <c r="K41" s="107"/>
      <c r="P41" s="107"/>
      <c r="U41" s="107"/>
      <c r="Z41" s="97"/>
      <c r="AA41" s="79"/>
      <c r="AB41" s="79"/>
      <c r="AC41" s="79"/>
      <c r="AD41" s="79"/>
      <c r="AE41" s="97"/>
    </row>
    <row r="42" spans="1:31" x14ac:dyDescent="0.25">
      <c r="A42" s="70" t="s">
        <v>44</v>
      </c>
      <c r="B42" s="94">
        <f>+'6'!S24+'7'!S24+'8'!S24+'9'!S24+'10'!S24+'11'!S24+'12'!S24+'13'!S24+'14'!S24+'15'!S24</f>
        <v>0</v>
      </c>
      <c r="C42" s="96">
        <f>+'6'!U24/100*'6'!$U$31+'7'!U24/100*'7'!$U$31+'8'!U24/100*'8'!$U$31+'9'!U24/100*'9'!$U$31+'10'!U24/100*'10'!$U$31+'11'!U24/100*'11'!$U$31+'12'!U24/100*'12'!$U$31+'13'!U24/100*'13'!$U$31+'14'!U24/100*'14'!$U$31+'15'!U24/100*'15'!$U$31</f>
        <v>773280.35464292148</v>
      </c>
      <c r="D42" s="96">
        <f>+'6'!V24/100*'6'!$V$31+'7'!V24/100*'7'!$V$31+'8'!V24/100*'8'!$V$31+'9'!V24/100*'9'!$V$31+'10'!V24/100*'10'!$V$31+'11'!V24/100*'11'!$V$31+'12'!V24/100*'12'!$V$31+'13'!V24/100*'13'!$V$31+'14'!V24/100*'14'!$V$31+'15'!V24/100*'15'!$V$31</f>
        <v>0</v>
      </c>
      <c r="E42" s="96">
        <f>+'6'!X24/100*'6'!$X$31+'7'!X24/100*'7'!$X$31+'8'!X24/100*'8'!$X$31+'9'!X24/100*'9'!$X$31+'10'!X24/100*'10'!$X$31+'11'!X24/100*'11'!$X$31+'12'!X24/100*'12'!$X$31+'13'!X24/100*'13'!$X$31+'14'!X24/100*'14'!$X$31+'15'!X24/100*'15'!$X$31</f>
        <v>0</v>
      </c>
      <c r="F42" s="96">
        <f t="shared" si="0"/>
        <v>773280.35464292148</v>
      </c>
      <c r="G42" s="94">
        <f>+'16'!$S24+'17'!$S24+'18'!$S24+'19'!$S24+'20'!$S24</f>
        <v>0</v>
      </c>
      <c r="H42" s="96">
        <f>+'16'!$U24/100*'16'!$U$31+'17'!$U24/100*'17'!$U$31+'18'!$U24/100*'18'!$U$31+'19'!$U24/100*'19'!$U$31+'20'!$U24/100*'20'!$U$31</f>
        <v>389443.44291508384</v>
      </c>
      <c r="I42" s="96">
        <f>+'16'!$V24/100*'16'!$V$31+'17'!$V24/100*'17'!$V$31+'18'!$V24/100*'18'!$V$31+'19'!$V24/100*'19'!$V$31+'20'!$V24/100*'20'!$V$31</f>
        <v>0</v>
      </c>
      <c r="J42" s="96">
        <f>+'16'!$X24/100*'16'!$X$31+'17'!$X24/100*'17'!$X$31+'18'!$X24/100*'18'!$X$31+'19'!$X24/100*'19'!$X$31+'20'!$X24/100*'20'!$X$31</f>
        <v>0</v>
      </c>
      <c r="K42" s="107">
        <f t="shared" si="1"/>
        <v>389443.44291508384</v>
      </c>
      <c r="L42" s="94">
        <f>+'21'!$S24+'22'!$S24+'23'!$S24+'24'!$S24+'25'!$S24</f>
        <v>0</v>
      </c>
      <c r="M42" s="96">
        <f>+'21'!$U24/100*'21'!$U$31+'22'!$U24/100*'22'!$U$31+'23'!$U24/100*'23'!$U$31+'24'!$U24/100*'24'!$U$31+'25'!$U24/100*'25'!$U$31</f>
        <v>425357.90943693573</v>
      </c>
      <c r="N42" s="96">
        <f>+'21'!$V24/100*'21'!$V$31+'22'!$V24/100*'22'!$V$31+'23'!$V24/100*'23'!$V$31+'24'!$V24/100*'24'!$V$31+'25'!$V24/100*'25'!$V$31</f>
        <v>0</v>
      </c>
      <c r="O42" s="96">
        <f>+'21'!$X24/100*'21'!$X$31+'22'!$X24/100*'22'!$X$31+'23'!$X24/100*'23'!$X$31+'24'!$X24/100*'24'!$X$31+'25'!$X24/100*'25'!$X$31</f>
        <v>0</v>
      </c>
      <c r="P42" s="107">
        <f t="shared" si="2"/>
        <v>425357.90943693573</v>
      </c>
      <c r="Q42" s="94">
        <f>+'26'!$S24+'27'!$S24+'28'!$S24+'29'!$S24+'30'!$S24+'31'!$S24+'32'!$S24</f>
        <v>0</v>
      </c>
      <c r="R42" s="96">
        <f>+'26'!$U24/100*'26'!$U$31+'27'!$U24/100*'27'!$U$31+'28'!$U24/100*'28'!$U$31+'29'!$U24/100*'29'!$U$31+'30'!$U24/100*'30'!$U$31+'31'!$U24/100*'31'!$U$31+'32'!$U24/100*'32'!$U$31</f>
        <v>454050.34155233722</v>
      </c>
      <c r="S42" s="96">
        <f>+'26'!$V24/100*'26'!$V$31+'27'!$V24/100*'27'!$V$31+'28'!$V24/100*'28'!$V$31+'29'!$V24/100*'29'!$V$31+'30'!$V24/100*'30'!$V$31+'31'!$V24/100*'31'!$V$31+'32'!$V24/100*'32'!$V$31</f>
        <v>0</v>
      </c>
      <c r="T42" s="96">
        <f>+'26'!$X24/100*'26'!$X$31+'27'!$X24/100*'27'!$X$31+'28'!$X24/100*'28'!$X$31+'29'!$X24/100*'29'!$X$31+'30'!$X24/100*'30'!$X$31+'31'!$X24/100*'31'!$X$31+'32'!$X24/100*'32'!$X$31</f>
        <v>0</v>
      </c>
      <c r="U42" s="107">
        <f t="shared" si="3"/>
        <v>454050.34155233722</v>
      </c>
      <c r="V42" s="94">
        <f>+'33'!$S24+'34'!$S24+'35'!$S24+'36'!$S24+'37'!$S24+'38'!$S24+'39'!$S24+'40'!$S24+'41'!$S24</f>
        <v>0</v>
      </c>
      <c r="W42" s="96">
        <f>+'33'!$U24/100*'33'!$U$31+'34'!$U24/100*'34'!$U$31+'35'!$U24/100*'35'!$U$31+'36'!$U24/100*'36'!$U$31+'37'!$U24/100*'37'!$U$31+'38'!$U24/100*'38'!$U$31+'39'!$U24/100*'39'!$U$31+'40'!$U24/100*'40'!$U$31+'41'!$U24/100*'41'!$U$31</f>
        <v>356080.73183398292</v>
      </c>
      <c r="X42" s="96">
        <f>+'33'!$V24/100*'33'!$V$31+'34'!$V24/100*'34'!$V$31+'35'!$V24/100*'35'!$V$31+'36'!$V24/100*'36'!$V$31+'37'!$V24/100*'37'!$V$31+'38'!$V24/100*'38'!$V$31+'39'!$V24/100*'39'!$V$31+'40'!$V24/100*'40'!$V$31+'41'!$V24/100*'41'!$V$31</f>
        <v>0</v>
      </c>
      <c r="Y42" s="96">
        <f>+'33'!$X24/100*'33'!$X$31+'34'!$X24/100*'34'!$X$31+'35'!$X24/100*'35'!$X$31+'36'!$X24/100*'36'!$X$31+'37'!$X24/100*'37'!$X$31+'38'!$X24/100*'38'!$X$31+'39'!$X24/100*'39'!$X$31+'40'!$X24/100*'40'!$X$31+'41'!$X24/100*'41'!$X$31</f>
        <v>0</v>
      </c>
      <c r="Z42" s="97">
        <f t="shared" si="4"/>
        <v>356080.73183398292</v>
      </c>
      <c r="AA42" s="94">
        <f>'42'!$S24+'43'!$S24+'44'!$S24+'45'!$S24</f>
        <v>0</v>
      </c>
      <c r="AB42" s="96">
        <f>'42'!$U24/100*'42'!$U$31+'43'!$U24/100*'43'!$U$31+'44'!$U24/100*'44'!$U$31+'45'!$U24/100*'45'!$U$31</f>
        <v>163633.94081948401</v>
      </c>
      <c r="AC42" s="96">
        <f>'42'!$V24/100*'42'!$V$31+'43'!$V24/100*'43'!$V$31+'44'!$V24/100*'44'!$V$31+'45'!$V24/100*'45'!$V$31</f>
        <v>0</v>
      </c>
      <c r="AD42" s="96">
        <f>'42'!$X24/100*'42'!$X$31+'43'!$X24/100*'43'!$X$31+'44'!$X24/100*'44'!$X$31+'45'!$X24/100*'45'!$X$31</f>
        <v>0</v>
      </c>
      <c r="AE42" s="97">
        <f t="shared" si="5"/>
        <v>163633.94081948401</v>
      </c>
    </row>
    <row r="43" spans="1:31" x14ac:dyDescent="0.25">
      <c r="A43" s="70"/>
      <c r="F43" s="96"/>
      <c r="G43" s="66"/>
      <c r="H43" s="10"/>
      <c r="K43" s="107"/>
      <c r="P43" s="107"/>
      <c r="U43" s="107"/>
      <c r="Z43" s="97"/>
      <c r="AA43" s="79"/>
      <c r="AB43" s="79"/>
      <c r="AC43" s="79"/>
      <c r="AD43" s="79"/>
      <c r="AE43" s="97"/>
    </row>
    <row r="44" spans="1:31" x14ac:dyDescent="0.25">
      <c r="A44" s="70" t="s">
        <v>45</v>
      </c>
      <c r="B44" s="94">
        <f>+'6'!S25+'7'!S25+'8'!S25+'9'!S25+'10'!S25+'11'!S25+'12'!S25+'13'!S25+'14'!S25+'15'!S25</f>
        <v>0</v>
      </c>
      <c r="C44" s="96">
        <f>+'6'!U25/100*'6'!$U$31+'7'!U25/100*'7'!$U$31+'8'!U25/100*'8'!$U$31+'9'!U25/100*'9'!$U$31+'10'!U25/100*'10'!$U$31+'11'!U25/100*'11'!$U$31+'12'!U25/100*'12'!$U$31+'13'!U25/100*'13'!$U$31+'14'!U25/100*'14'!$U$31+'15'!U25/100*'15'!$U$31</f>
        <v>585603.15323265584</v>
      </c>
      <c r="D44" s="96">
        <f>+'6'!V25/100*'6'!$V$31+'7'!V25/100*'7'!$V$31+'8'!V25/100*'8'!$V$31+'9'!V25/100*'9'!$V$31+'10'!V25/100*'10'!$V$31+'11'!V25/100*'11'!$V$31+'12'!V25/100*'12'!$V$31+'13'!V25/100*'13'!$V$31+'14'!V25/100*'14'!$V$31+'15'!V25/100*'15'!$V$31</f>
        <v>0</v>
      </c>
      <c r="E44" s="96">
        <f>+'6'!X25/100*'6'!$X$31+'7'!X25/100*'7'!$X$31+'8'!X25/100*'8'!$X$31+'9'!X25/100*'9'!$X$31+'10'!X25/100*'10'!$X$31+'11'!X25/100*'11'!$X$31+'12'!X25/100*'12'!$X$31+'13'!X25/100*'13'!$X$31+'14'!X25/100*'14'!$X$31+'15'!X25/100*'15'!$X$31</f>
        <v>0</v>
      </c>
      <c r="F44" s="96">
        <f t="shared" si="0"/>
        <v>585603.15323265584</v>
      </c>
      <c r="G44" s="94">
        <f>+'16'!$S25+'17'!$S25+'18'!$S25+'19'!$S25+'20'!$S25</f>
        <v>0</v>
      </c>
      <c r="H44" s="96">
        <f>+'16'!$U25/100*'16'!$U$31+'17'!$U25/100*'17'!$U$31+'18'!$U25/100*'18'!$U$31+'19'!$U25/100*'19'!$U$31+'20'!$U25/100*'20'!$U$31</f>
        <v>209766.73819708347</v>
      </c>
      <c r="I44" s="96">
        <f>+'16'!$V25/100*'16'!$V$31+'17'!$V25/100*'17'!$V$31+'18'!$V25/100*'18'!$V$31+'19'!$V25/100*'19'!$V$31+'20'!$V25/100*'20'!$V$31</f>
        <v>0</v>
      </c>
      <c r="J44" s="96">
        <f>+'16'!$X25/100*'16'!$X$31+'17'!$X25/100*'17'!$X$31+'18'!$X25/100*'18'!$X$31+'19'!$X25/100*'19'!$X$31+'20'!$X25/100*'20'!$X$31</f>
        <v>0</v>
      </c>
      <c r="K44" s="107">
        <f t="shared" si="1"/>
        <v>209766.73819708347</v>
      </c>
      <c r="L44" s="94">
        <f>+'21'!$S25+'22'!$S25+'23'!$S25+'24'!$S25+'25'!$S25</f>
        <v>0</v>
      </c>
      <c r="M44" s="96">
        <f>+'21'!$U25/100*'21'!$U$31+'22'!$U25/100*'22'!$U$31+'23'!$U25/100*'23'!$U$31+'24'!$U25/100*'24'!$U$31+'25'!$U25/100*'25'!$U$31</f>
        <v>814705.88325838523</v>
      </c>
      <c r="N44" s="96">
        <f>+'21'!$V25/100*'21'!$V$31+'22'!$V25/100*'22'!$V$31+'23'!$V25/100*'23'!$V$31+'24'!$V25/100*'24'!$V$31+'25'!$V25/100*'25'!$V$31</f>
        <v>0</v>
      </c>
      <c r="O44" s="96">
        <f>+'21'!$X25/100*'21'!$X$31+'22'!$X25/100*'22'!$X$31+'23'!$X25/100*'23'!$X$31+'24'!$X25/100*'24'!$X$31+'25'!$X25/100*'25'!$X$31</f>
        <v>0</v>
      </c>
      <c r="P44" s="107">
        <f t="shared" si="2"/>
        <v>814705.88325838523</v>
      </c>
      <c r="Q44" s="94">
        <f>+'26'!$S25+'27'!$S25+'28'!$S25+'29'!$S25+'30'!$S25+'31'!$S25+'32'!$S25</f>
        <v>0</v>
      </c>
      <c r="R44" s="96">
        <f>+'26'!$U25/100*'26'!$U$31+'27'!$U25/100*'27'!$U$31+'28'!$U25/100*'28'!$U$31+'29'!$U25/100*'29'!$U$31+'30'!$U25/100*'30'!$U$31+'31'!$U25/100*'31'!$U$31+'32'!$U25/100*'32'!$U$31</f>
        <v>414138.06347593752</v>
      </c>
      <c r="S44" s="96">
        <f>+'26'!$V25/100*'26'!$V$31+'27'!$V25/100*'27'!$V$31+'28'!$V25/100*'28'!$V$31+'29'!$V25/100*'29'!$V$31+'30'!$V25/100*'30'!$V$31+'31'!$V25/100*'31'!$V$31+'32'!$V25/100*'32'!$V$31</f>
        <v>0</v>
      </c>
      <c r="T44" s="96">
        <f>+'26'!$X25/100*'26'!$X$31+'27'!$X25/100*'27'!$X$31+'28'!$X25/100*'28'!$X$31+'29'!$X25/100*'29'!$X$31+'30'!$X25/100*'30'!$X$31+'31'!$X25/100*'31'!$X$31+'32'!$X25/100*'32'!$X$31</f>
        <v>0</v>
      </c>
      <c r="U44" s="107">
        <f t="shared" si="3"/>
        <v>414138.06347593752</v>
      </c>
      <c r="V44" s="94">
        <f>+'33'!$S25+'34'!$S25+'35'!$S25+'36'!$S25+'37'!$S25+'38'!$S25+'39'!$S25+'40'!$S25+'41'!$S25</f>
        <v>0</v>
      </c>
      <c r="W44" s="96">
        <f>+'33'!$U25/100*'33'!$U$31+'34'!$U25/100*'34'!$U$31+'35'!$U25/100*'35'!$U$31+'36'!$U25/100*'36'!$U$31+'37'!$U25/100*'37'!$U$31+'38'!$U25/100*'38'!$U$31+'39'!$U25/100*'39'!$U$31+'40'!$U25/100*'40'!$U$31+'41'!$U25/100*'41'!$U$31</f>
        <v>603750.04855028016</v>
      </c>
      <c r="X44" s="96">
        <f>+'33'!$V25/100*'33'!$V$31+'34'!$V25/100*'34'!$V$31+'35'!$V25/100*'35'!$V$31+'36'!$V25/100*'36'!$V$31+'37'!$V25/100*'37'!$V$31+'38'!$V25/100*'38'!$V$31+'39'!$V25/100*'39'!$V$31+'40'!$V25/100*'40'!$V$31+'41'!$V25/100*'41'!$V$31</f>
        <v>0</v>
      </c>
      <c r="Y44" s="96">
        <f>+'33'!$X25/100*'33'!$X$31+'34'!$X25/100*'34'!$X$31+'35'!$X25/100*'35'!$X$31+'36'!$X25/100*'36'!$X$31+'37'!$X25/100*'37'!$X$31+'38'!$X25/100*'38'!$X$31+'39'!$X25/100*'39'!$X$31+'40'!$X25/100*'40'!$X$31+'41'!$X25/100*'41'!$X$31</f>
        <v>0</v>
      </c>
      <c r="Z44" s="97">
        <f t="shared" si="4"/>
        <v>603750.04855028016</v>
      </c>
      <c r="AA44" s="94">
        <f>'42'!$S25+'43'!$S25+'44'!$S25+'45'!$S25</f>
        <v>0</v>
      </c>
      <c r="AB44" s="96">
        <f>'42'!$U25/100*'42'!$U$31+'43'!$U25/100*'43'!$U$31+'44'!$U25/100*'44'!$U$31+'45'!$U25/100*'45'!$U$31</f>
        <v>138920.22948475086</v>
      </c>
      <c r="AC44" s="96">
        <f>'42'!$V25/100*'42'!$V$31+'43'!$V25/100*'43'!$V$31+'44'!$V25/100*'44'!$V$31+'45'!$V25/100*'45'!$V$31</f>
        <v>0</v>
      </c>
      <c r="AD44" s="96">
        <f>'42'!$X25/100*'42'!$X$31+'43'!$X25/100*'43'!$X$31+'44'!$X25/100*'44'!$X$31+'45'!$X25/100*'45'!$X$31</f>
        <v>0</v>
      </c>
      <c r="AE44" s="97">
        <f t="shared" si="5"/>
        <v>138920.22948475086</v>
      </c>
    </row>
    <row r="45" spans="1:31" x14ac:dyDescent="0.25">
      <c r="A45" s="70"/>
      <c r="F45" s="96"/>
      <c r="G45" s="66"/>
      <c r="H45" s="10"/>
      <c r="I45" s="10"/>
      <c r="J45" s="10"/>
      <c r="K45" s="107"/>
      <c r="P45" s="107"/>
      <c r="U45" s="107"/>
      <c r="Z45" s="97"/>
      <c r="AA45" s="79"/>
      <c r="AB45" s="79"/>
      <c r="AC45" s="79"/>
      <c r="AD45" s="79"/>
      <c r="AE45" s="97"/>
    </row>
    <row r="46" spans="1:31" x14ac:dyDescent="0.25">
      <c r="A46" s="70" t="s">
        <v>46</v>
      </c>
      <c r="B46" s="94">
        <f>+'6'!S26+'7'!S26+'8'!S26+'9'!S26+'10'!S26+'11'!S26+'12'!S26+'13'!S26+'14'!S26+'15'!S26</f>
        <v>0</v>
      </c>
      <c r="C46" s="96">
        <f>+'6'!U26/100*'6'!$U$31+'7'!U26/100*'7'!$U$31+'8'!U26/100*'8'!$U$31+'9'!U26/100*'9'!$U$31+'10'!U26/100*'10'!$U$31+'11'!U26/100*'11'!$U$31+'12'!U26/100*'12'!$U$31+'13'!U26/100*'13'!$U$31+'14'!U26/100*'14'!$U$31+'15'!U26/100*'15'!$U$31</f>
        <v>50665.116695571196</v>
      </c>
      <c r="D46" s="96">
        <f>+'6'!V26/100*'6'!$V$31+'7'!V26/100*'7'!$V$31+'8'!V26/100*'8'!$V$31+'9'!V26/100*'9'!$V$31+'10'!V26/100*'10'!$V$31+'11'!V26/100*'11'!$V$31+'12'!V26/100*'12'!$V$31+'13'!V26/100*'13'!$V$31+'14'!V26/100*'14'!$V$31+'15'!V26/100*'15'!$V$31</f>
        <v>0</v>
      </c>
      <c r="E46" s="96">
        <f>+'6'!X26/100*'6'!$X$31+'7'!X26/100*'7'!$X$31+'8'!X26/100*'8'!$X$31+'9'!X26/100*'9'!$X$31+'10'!X26/100*'10'!$X$31+'11'!X26/100*'11'!$X$31+'12'!X26/100*'12'!$X$31+'13'!X26/100*'13'!$X$31+'14'!X26/100*'14'!$X$31+'15'!X26/100*'15'!$X$31</f>
        <v>0</v>
      </c>
      <c r="F46" s="96">
        <f t="shared" si="0"/>
        <v>50665.116695571196</v>
      </c>
      <c r="G46" s="94">
        <f>+'16'!$S26+'17'!$S26+'18'!$S26+'19'!$S26+'20'!$S26</f>
        <v>0</v>
      </c>
      <c r="H46" s="96">
        <f>+'16'!$U26/100*'16'!$U$31+'17'!$U26/100*'17'!$U$31+'18'!$U26/100*'18'!$U$31+'19'!$U26/100*'19'!$U$31+'20'!$U26/100*'20'!$U$31</f>
        <v>39005.15</v>
      </c>
      <c r="I46" s="96">
        <f>+'16'!$V26/100*'16'!$V$31+'17'!$V26/100*'17'!$V$31+'18'!$V26/100*'18'!$V$31+'19'!$V26/100*'19'!$V$31+'20'!$V26/100*'20'!$V$31</f>
        <v>0</v>
      </c>
      <c r="J46" s="96">
        <f>+'16'!$X26/100*'16'!$X$31+'17'!$X26/100*'17'!$X$31+'18'!$X26/100*'18'!$X$31+'19'!$X26/100*'19'!$X$31+'20'!$X26/100*'20'!$X$31</f>
        <v>0</v>
      </c>
      <c r="K46" s="107">
        <f t="shared" si="1"/>
        <v>39005.15</v>
      </c>
      <c r="L46" s="94">
        <f>+'21'!$S26+'22'!$S26+'23'!$S26+'24'!$S26+'25'!$S26</f>
        <v>0</v>
      </c>
      <c r="M46" s="96">
        <f>+'21'!$U26/100*'21'!$U$31+'22'!$U26/100*'22'!$U$31+'23'!$U26/100*'23'!$U$31+'24'!$U26/100*'24'!$U$31+'25'!$U26/100*'25'!$U$31</f>
        <v>0</v>
      </c>
      <c r="N46" s="96">
        <f>+'21'!$V26/100*'21'!$V$31+'22'!$V26/100*'22'!$V$31+'23'!$V26/100*'23'!$V$31+'24'!$V26/100*'24'!$V$31+'25'!$V26/100*'25'!$V$31</f>
        <v>0</v>
      </c>
      <c r="O46" s="96">
        <f>+'21'!$X26/100*'21'!$X$31+'22'!$X26/100*'22'!$X$31+'23'!$X26/100*'23'!$X$31+'24'!$X26/100*'24'!$X$31+'25'!$X26/100*'25'!$X$31</f>
        <v>0</v>
      </c>
      <c r="P46" s="107">
        <f t="shared" si="2"/>
        <v>0</v>
      </c>
      <c r="Q46" s="94">
        <f>+'26'!$S26+'27'!$S26+'28'!$S26+'29'!$S26+'30'!$S26+'31'!$S26+'32'!$S26</f>
        <v>0</v>
      </c>
      <c r="R46" s="96">
        <f>+'26'!$U26/100*'26'!$U$31+'27'!$U26/100*'27'!$U$31+'28'!$U26/100*'28'!$U$31+'29'!$U26/100*'29'!$U$31+'30'!$U26/100*'30'!$U$31+'31'!$U26/100*'31'!$U$31+'32'!$U26/100*'32'!$U$31</f>
        <v>222016.01</v>
      </c>
      <c r="S46" s="96">
        <f>+'26'!$V26/100*'26'!$V$31+'27'!$V26/100*'27'!$V$31+'28'!$V26/100*'28'!$V$31+'29'!$V26/100*'29'!$V$31+'30'!$V26/100*'30'!$V$31+'31'!$V26/100*'31'!$V$31+'32'!$V26/100*'32'!$V$31</f>
        <v>0</v>
      </c>
      <c r="T46" s="96">
        <f>+'26'!$X26/100*'26'!$X$31+'27'!$X26/100*'27'!$X$31+'28'!$X26/100*'28'!$X$31+'29'!$X26/100*'29'!$X$31+'30'!$X26/100*'30'!$X$31+'31'!$X26/100*'31'!$X$31+'32'!$X26/100*'32'!$X$31</f>
        <v>0</v>
      </c>
      <c r="U46" s="107">
        <f t="shared" si="3"/>
        <v>222016.01</v>
      </c>
      <c r="V46" s="94">
        <f>+'33'!$S26+'34'!$S26+'35'!$S26+'36'!$S26+'37'!$S26+'38'!$S26+'39'!$S26+'40'!$S26+'41'!$S26</f>
        <v>0</v>
      </c>
      <c r="W46" s="96">
        <f>+'33'!$U26/100*'33'!$U$31+'34'!$U26/100*'34'!$U$31+'35'!$U26/100*'35'!$U$31+'36'!$U26/100*'36'!$U$31+'37'!$U26/100*'37'!$U$31+'38'!$U26/100*'38'!$U$31+'39'!$U26/100*'39'!$U$31+'40'!$U26/100*'40'!$U$31+'41'!$U26/100*'41'!$U$31</f>
        <v>259725.83508500954</v>
      </c>
      <c r="X46" s="96">
        <f>+'33'!$V26/100*'33'!$V$31+'34'!$V26/100*'34'!$V$31+'35'!$V26/100*'35'!$V$31+'36'!$V26/100*'36'!$V$31+'37'!$V26/100*'37'!$V$31+'38'!$V26/100*'38'!$V$31+'39'!$V26/100*'39'!$V$31+'40'!$V26/100*'40'!$V$31+'41'!$V26/100*'41'!$V$31</f>
        <v>0</v>
      </c>
      <c r="Y46" s="96">
        <f>+'33'!$X26/100*'33'!$X$31+'34'!$X26/100*'34'!$X$31+'35'!$X26/100*'35'!$X$31+'36'!$X26/100*'36'!$X$31+'37'!$X26/100*'37'!$X$31+'38'!$X26/100*'38'!$X$31+'39'!$X26/100*'39'!$X$31+'40'!$X26/100*'40'!$X$31+'41'!$X26/100*'41'!$X$31</f>
        <v>0</v>
      </c>
      <c r="Z46" s="97">
        <f t="shared" si="4"/>
        <v>259725.83508500954</v>
      </c>
      <c r="AA46" s="94">
        <f>'42'!$S26+'43'!$S26+'44'!$S26+'45'!$S26</f>
        <v>0</v>
      </c>
      <c r="AB46" s="96">
        <f>'42'!$U26/100*'42'!$U$31+'43'!$U26/100*'43'!$U$31+'44'!$U26/100*'44'!$U$31+'45'!$U26/100*'45'!$U$31</f>
        <v>41914.460125888545</v>
      </c>
      <c r="AC46" s="96">
        <f>'42'!$V26/100*'42'!$V$31+'43'!$V26/100*'43'!$V$31+'44'!$V26/100*'44'!$V$31+'45'!$V26/100*'45'!$V$31</f>
        <v>0</v>
      </c>
      <c r="AD46" s="96">
        <f>'42'!$X26/100*'42'!$X$31+'43'!$X26/100*'43'!$X$31+'44'!$X26/100*'44'!$X$31+'45'!$X26/100*'45'!$X$31</f>
        <v>0</v>
      </c>
      <c r="AE46" s="97">
        <f t="shared" si="5"/>
        <v>41914.460125888545</v>
      </c>
    </row>
    <row r="47" spans="1:31" x14ac:dyDescent="0.25">
      <c r="A47" s="70"/>
      <c r="B47" s="94"/>
      <c r="C47" s="96"/>
      <c r="D47" s="96"/>
      <c r="E47" s="96"/>
      <c r="F47" s="96"/>
      <c r="G47" s="66"/>
      <c r="H47" s="10"/>
      <c r="K47" s="107"/>
      <c r="P47" s="107"/>
      <c r="U47" s="107"/>
      <c r="Z47" s="97"/>
      <c r="AA47" s="79"/>
      <c r="AB47" s="79"/>
      <c r="AC47" s="79"/>
      <c r="AD47" s="79"/>
      <c r="AE47" s="97"/>
    </row>
    <row r="48" spans="1:31" x14ac:dyDescent="0.25">
      <c r="A48" s="70" t="s">
        <v>47</v>
      </c>
      <c r="B48" s="94">
        <f>+'6'!S27+'7'!S27+'8'!S27+'9'!S27+'10'!S27+'11'!S27+'12'!S27+'13'!S27+'14'!S27+'15'!S27</f>
        <v>0</v>
      </c>
      <c r="C48" s="96">
        <f>+'6'!U27/100*'6'!$U$31+'7'!U27/100*'7'!$U$31+'8'!U27/100*'8'!$U$31+'9'!U27/100*'9'!$U$31+'10'!U27/100*'10'!$U$31+'11'!U27/100*'11'!$U$31+'12'!U27/100*'12'!$U$31+'13'!U27/100*'13'!$U$31+'14'!U27/100*'14'!$U$31+'15'!U27/100*'15'!$U$31</f>
        <v>1889029.9383081833</v>
      </c>
      <c r="D48" s="96">
        <f>+'6'!V27/100*'6'!$V$31+'7'!V27/100*'7'!$V$31+'8'!V27/100*'8'!$V$31+'9'!V27/100*'9'!$V$31+'10'!V27/100*'10'!$V$31+'11'!V27/100*'11'!$V$31+'12'!V27/100*'12'!$V$31+'13'!V27/100*'13'!$V$31+'14'!V27/100*'14'!$V$31+'15'!V27/100*'15'!$V$31</f>
        <v>0</v>
      </c>
      <c r="E48" s="96">
        <f>+'6'!X27/100*'6'!$X$31+'7'!X27/100*'7'!$X$31+'8'!X27/100*'8'!$X$31+'9'!X27/100*'9'!$X$31+'10'!X27/100*'10'!$X$31+'11'!X27/100*'11'!$X$31+'12'!X27/100*'12'!$X$31+'13'!X27/100*'13'!$X$31+'14'!X27/100*'14'!$X$31+'15'!X27/100*'15'!$X$31</f>
        <v>0</v>
      </c>
      <c r="F48" s="96">
        <f t="shared" si="0"/>
        <v>1889029.9383081833</v>
      </c>
      <c r="G48" s="94">
        <f>+'16'!$S27+'17'!$S27+'18'!$S27+'19'!$S27+'20'!$S27</f>
        <v>0</v>
      </c>
      <c r="H48" s="96">
        <f>+'16'!$U27/100*'16'!$U$31+'17'!$U27/100*'17'!$U$31+'18'!$U27/100*'18'!$U$31+'19'!$U27/100*'19'!$U$31+'20'!$U27/100*'20'!$U$31</f>
        <v>735279.74097042007</v>
      </c>
      <c r="I48" s="96">
        <f>+'16'!$V27/100*'16'!$V$31+'17'!$V27/100*'17'!$V$31+'18'!$V27/100*'18'!$V$31+'19'!$V27/100*'19'!$V$31+'20'!$V27/100*'20'!$V$31</f>
        <v>0</v>
      </c>
      <c r="J48" s="96">
        <f>+'16'!$X27/100*'16'!$X$31+'17'!$X27/100*'17'!$X$31+'18'!$X27/100*'18'!$X$31+'19'!$X27/100*'19'!$X$31+'20'!$X27/100*'20'!$X$31</f>
        <v>0</v>
      </c>
      <c r="K48" s="107">
        <f t="shared" si="1"/>
        <v>735279.74097042007</v>
      </c>
      <c r="L48" s="94">
        <f>+'21'!$S27+'22'!$S27+'23'!$S27+'24'!$S27+'25'!$S27</f>
        <v>0</v>
      </c>
      <c r="M48" s="96">
        <f>+'21'!$U27/100*'21'!$U$31+'22'!$U27/100*'22'!$U$31+'23'!$U27/100*'23'!$U$31+'24'!$U27/100*'24'!$U$31+'25'!$U27/100*'25'!$U$31</f>
        <v>1226543.7014718845</v>
      </c>
      <c r="N48" s="96">
        <f>+'21'!$V27/100*'21'!$V$31+'22'!$V27/100*'22'!$V$31+'23'!$V27/100*'23'!$V$31+'24'!$V27/100*'24'!$V$31+'25'!$V27/100*'25'!$V$31</f>
        <v>0</v>
      </c>
      <c r="O48" s="96">
        <f>+'21'!$X27/100*'21'!$X$31+'22'!$X27/100*'22'!$X$31+'23'!$X27/100*'23'!$X$31+'24'!$X27/100*'24'!$X$31+'25'!$X27/100*'25'!$X$31</f>
        <v>0</v>
      </c>
      <c r="P48" s="107">
        <f t="shared" si="2"/>
        <v>1226543.7014718845</v>
      </c>
      <c r="Q48" s="94">
        <f>+'26'!$S27+'27'!$S27+'28'!$S27+'29'!$S27+'30'!$S27+'31'!$S27+'32'!$S27</f>
        <v>0</v>
      </c>
      <c r="R48" s="96">
        <f>+'26'!$U27/100*'26'!$U$31+'27'!$U27/100*'27'!$U$31+'28'!$U27/100*'28'!$U$31+'29'!$U27/100*'29'!$U$31+'30'!$U27/100*'30'!$U$31+'31'!$U27/100*'31'!$U$31+'32'!$U27/100*'32'!$U$31</f>
        <v>1492859.7946942111</v>
      </c>
      <c r="S48" s="96">
        <f>+'26'!$V27/100*'26'!$V$31+'27'!$V27/100*'27'!$V$31+'28'!$V27/100*'28'!$V$31+'29'!$V27/100*'29'!$V$31+'30'!$V27/100*'30'!$V$31+'31'!$V27/100*'31'!$V$31+'32'!$V27/100*'32'!$V$31</f>
        <v>0</v>
      </c>
      <c r="T48" s="96">
        <f>+'26'!$X27/100*'26'!$X$31+'27'!$X27/100*'27'!$X$31+'28'!$X27/100*'28'!$X$31+'29'!$X27/100*'29'!$X$31+'30'!$X27/100*'30'!$X$31+'31'!$X27/100*'31'!$X$31+'32'!$X27/100*'32'!$X$31</f>
        <v>0</v>
      </c>
      <c r="U48" s="107">
        <f t="shared" si="3"/>
        <v>1492859.7946942111</v>
      </c>
      <c r="V48" s="94">
        <f>+'33'!$S27+'34'!$S27+'35'!$S27+'36'!$S27+'37'!$S27+'38'!$S27+'39'!$S27+'40'!$S27+'41'!$S27</f>
        <v>0</v>
      </c>
      <c r="W48" s="96">
        <f>+'33'!$U27/100*'33'!$U$31+'34'!$U27/100*'34'!$U$31+'35'!$U27/100*'35'!$U$31+'36'!$U27/100*'36'!$U$31+'37'!$U27/100*'37'!$U$31+'38'!$U27/100*'38'!$U$31+'39'!$U27/100*'39'!$U$31+'40'!$U27/100*'40'!$U$31+'41'!$U27/100*'41'!$U$31</f>
        <v>1861289.100147821</v>
      </c>
      <c r="X48" s="96">
        <f>+'33'!$V27/100*'33'!$V$31+'34'!$V27/100*'34'!$V$31+'35'!$V27/100*'35'!$V$31+'36'!$V27/100*'36'!$V$31+'37'!$V27/100*'37'!$V$31+'38'!$V27/100*'38'!$V$31+'39'!$V27/100*'39'!$V$31+'40'!$V27/100*'40'!$V$31+'41'!$V27/100*'41'!$V$31</f>
        <v>0</v>
      </c>
      <c r="Y48" s="96">
        <f>+'33'!$X27/100*'33'!$X$31+'34'!$X27/100*'34'!$X$31+'35'!$X27/100*'35'!$X$31+'36'!$X27/100*'36'!$X$31+'37'!$X27/100*'37'!$X$31+'38'!$X27/100*'38'!$X$31+'39'!$X27/100*'39'!$X$31+'40'!$X27/100*'40'!$X$31+'41'!$X27/100*'41'!$X$31</f>
        <v>0</v>
      </c>
      <c r="Z48" s="97">
        <f t="shared" si="4"/>
        <v>1861289.100147821</v>
      </c>
      <c r="AA48" s="94">
        <f>'42'!$S27+'43'!$S27+'44'!$S27+'45'!$S27</f>
        <v>0</v>
      </c>
      <c r="AB48" s="96">
        <f>'42'!$U27/100*'42'!$U$31+'43'!$U27/100*'43'!$U$31+'44'!$U27/100*'44'!$U$31+'45'!$U27/100*'45'!$U$31</f>
        <v>158751.8797244399</v>
      </c>
      <c r="AC48" s="96">
        <f>'42'!$V27/100*'42'!$V$31+'43'!$V27/100*'43'!$V$31+'44'!$V27/100*'44'!$V$31+'45'!$V27/100*'45'!$V$31</f>
        <v>0</v>
      </c>
      <c r="AD48" s="96">
        <f>'42'!$X27/100*'42'!$X$31+'43'!$X27/100*'43'!$X$31+'44'!$X27/100*'44'!$X$31+'45'!$X27/100*'45'!$X$31</f>
        <v>0</v>
      </c>
      <c r="AE48" s="97">
        <f t="shared" si="5"/>
        <v>158751.8797244399</v>
      </c>
    </row>
    <row r="49" spans="1:31" x14ac:dyDescent="0.25">
      <c r="A49" s="70"/>
      <c r="B49" s="94"/>
      <c r="C49" s="96"/>
      <c r="D49" s="96"/>
      <c r="E49" s="96"/>
      <c r="F49" s="96"/>
      <c r="G49" s="66"/>
      <c r="H49" s="10"/>
      <c r="I49" s="10"/>
      <c r="J49" s="10"/>
      <c r="K49" s="107"/>
      <c r="L49" s="66"/>
      <c r="M49" s="10"/>
      <c r="N49" s="10"/>
      <c r="O49" s="10"/>
      <c r="P49" s="107"/>
      <c r="U49" s="107"/>
      <c r="Z49" s="97"/>
      <c r="AA49" s="79"/>
      <c r="AB49" s="79"/>
      <c r="AC49" s="79"/>
      <c r="AD49" s="79"/>
      <c r="AE49" s="97"/>
    </row>
    <row r="50" spans="1:31" x14ac:dyDescent="0.25">
      <c r="A50" s="70" t="s">
        <v>48</v>
      </c>
      <c r="B50" s="94">
        <f>+'6'!S28+'7'!S28+'8'!S28+'9'!S28+'10'!S28+'11'!S28+'12'!S28+'13'!S28+'14'!S28+'15'!S28</f>
        <v>0</v>
      </c>
      <c r="C50" s="96">
        <f>+'6'!U28/100*'6'!$U$31+'7'!U28/100*'7'!$U$31+'8'!U28/100*'8'!$U$31+'9'!U28/100*'9'!$U$31+'10'!U28/100*'10'!$U$31+'11'!U28/100*'11'!$U$31+'12'!U28/100*'12'!$U$31+'13'!U28/100*'13'!$U$31+'14'!U28/100*'14'!$U$31+'15'!U28/100*'15'!$U$31</f>
        <v>154184.59653021104</v>
      </c>
      <c r="D50" s="96">
        <f>+'6'!V28/100*'6'!$V$31+'7'!V28/100*'7'!$V$31+'8'!V28/100*'8'!$V$31+'9'!V28/100*'9'!$V$31+'10'!V28/100*'10'!$V$31+'11'!V28/100*'11'!$V$31+'12'!V28/100*'12'!$V$31+'13'!V28/100*'13'!$V$31+'14'!V28/100*'14'!$V$31+'15'!V28/100*'15'!$V$31</f>
        <v>0</v>
      </c>
      <c r="E50" s="96">
        <f>+'6'!X28/100*'6'!$X$31+'7'!X28/100*'7'!$X$31+'8'!X28/100*'8'!$X$31+'9'!X28/100*'9'!$X$31+'10'!X28/100*'10'!$X$31+'11'!X28/100*'11'!$X$31+'12'!X28/100*'12'!$X$31+'13'!X28/100*'13'!$X$31+'14'!X28/100*'14'!$X$31+'15'!X28/100*'15'!$X$31</f>
        <v>0</v>
      </c>
      <c r="F50" s="96">
        <f t="shared" si="0"/>
        <v>154184.59653021104</v>
      </c>
      <c r="G50" s="94">
        <f>+'16'!$S28+'17'!$S28+'18'!$S28+'19'!$S28+'20'!$S28</f>
        <v>0</v>
      </c>
      <c r="H50" s="96">
        <f>+'16'!$U28/100*'16'!$U$31+'17'!$U28/100*'17'!$U$31+'18'!$U28/100*'18'!$U$31+'19'!$U28/100*'19'!$U$31+'20'!$U28/100*'20'!$U$31</f>
        <v>98521.2933770253</v>
      </c>
      <c r="I50" s="96">
        <f>+'16'!$V28/100*'16'!$V$31+'17'!$V28/100*'17'!$V$31+'18'!$V28/100*'18'!$V$31+'19'!$V28/100*'19'!$V$31+'20'!$V28/100*'20'!$V$31</f>
        <v>0</v>
      </c>
      <c r="J50" s="96">
        <f>+'16'!$X28/100*'16'!$X$31+'17'!$X28/100*'17'!$X$31+'18'!$X28/100*'18'!$X$31+'19'!$X28/100*'19'!$X$31+'20'!$X28/100*'20'!$X$31</f>
        <v>0</v>
      </c>
      <c r="K50" s="107">
        <f t="shared" si="1"/>
        <v>98521.2933770253</v>
      </c>
      <c r="L50" s="94">
        <f>+'21'!$S28+'22'!$S28+'23'!$S28+'24'!$S28+'25'!$S28</f>
        <v>0</v>
      </c>
      <c r="M50" s="96">
        <f>+'21'!$U28/100*'21'!$U$31+'22'!$U28/100*'22'!$U$31+'23'!$U28/100*'23'!$U$31+'24'!$U28/100*'24'!$U$31+'25'!$U28/100*'25'!$U$31</f>
        <v>32541.661435455819</v>
      </c>
      <c r="N50" s="96">
        <f>+'21'!$V28/100*'21'!$V$31+'22'!$V28/100*'22'!$V$31+'23'!$V28/100*'23'!$V$31+'24'!$V28/100*'24'!$V$31+'25'!$V28/100*'25'!$V$31</f>
        <v>0</v>
      </c>
      <c r="O50" s="96">
        <f>+'21'!$X28/100*'21'!$X$31+'22'!$X28/100*'22'!$X$31+'23'!$X28/100*'23'!$X$31+'24'!$X28/100*'24'!$X$31+'25'!$X28/100*'25'!$X$31</f>
        <v>0</v>
      </c>
      <c r="P50" s="107">
        <f t="shared" si="2"/>
        <v>32541.661435455819</v>
      </c>
      <c r="Q50" s="94">
        <f>+'26'!$S28+'27'!$S28+'28'!$S28+'29'!$S28+'30'!$S28+'31'!$S28+'32'!$S28</f>
        <v>0</v>
      </c>
      <c r="R50" s="96">
        <f>+'26'!$U28/100*'26'!$U$31+'27'!$U28/100*'27'!$U$31+'28'!$U28/100*'28'!$U$31+'29'!$U28/100*'29'!$U$31+'30'!$U28/100*'30'!$U$31+'31'!$U28/100*'31'!$U$31+'32'!$U28/100*'32'!$U$31</f>
        <v>24445.54</v>
      </c>
      <c r="S50" s="96">
        <f>+'26'!$V28/100*'26'!$V$31+'27'!$V28/100*'27'!$V$31+'28'!$V28/100*'28'!$V$31+'29'!$V28/100*'29'!$V$31+'30'!$V28/100*'30'!$V$31+'31'!$V28/100*'31'!$V$31+'32'!$V28/100*'32'!$V$31</f>
        <v>0</v>
      </c>
      <c r="T50" s="96">
        <f>+'26'!$X28/100*'26'!$X$31+'27'!$X28/100*'27'!$X$31+'28'!$X28/100*'28'!$X$31+'29'!$X28/100*'29'!$X$31+'30'!$X28/100*'30'!$X$31+'31'!$X28/100*'31'!$X$31+'32'!$X28/100*'32'!$X$31</f>
        <v>0</v>
      </c>
      <c r="U50" s="107">
        <f t="shared" si="3"/>
        <v>24445.54</v>
      </c>
      <c r="V50" s="94">
        <f>+'33'!$S28+'34'!$S28+'35'!$S28+'36'!$S28+'37'!$S28+'38'!$S28+'39'!$S28+'40'!$S28+'41'!$S28</f>
        <v>0</v>
      </c>
      <c r="W50" s="96">
        <f>+'33'!$U28/100*'33'!$U$31+'34'!$U28/100*'34'!$U$31+'35'!$U28/100*'35'!$U$31+'36'!$U28/100*'36'!$U$31+'37'!$U28/100*'37'!$U$31+'38'!$U28/100*'38'!$U$31+'39'!$U28/100*'39'!$U$31+'40'!$U28/100*'40'!$U$31+'41'!$U28/100*'41'!$U$31</f>
        <v>203228.64441776084</v>
      </c>
      <c r="X50" s="96">
        <f>+'33'!$V28/100*'33'!$V$31+'34'!$V28/100*'34'!$V$31+'35'!$V28/100*'35'!$V$31+'36'!$V28/100*'36'!$V$31+'37'!$V28/100*'37'!$V$31+'38'!$V28/100*'38'!$V$31+'39'!$V28/100*'39'!$V$31+'40'!$V28/100*'40'!$V$31+'41'!$V28/100*'41'!$V$31</f>
        <v>0</v>
      </c>
      <c r="Y50" s="96">
        <f>+'33'!$X28/100*'33'!$X$31+'34'!$X28/100*'34'!$X$31+'35'!$X28/100*'35'!$X$31+'36'!$X28/100*'36'!$X$31+'37'!$X28/100*'37'!$X$31+'38'!$X28/100*'38'!$X$31+'39'!$X28/100*'39'!$X$31+'40'!$X28/100*'40'!$X$31+'41'!$X28/100*'41'!$X$31</f>
        <v>0</v>
      </c>
      <c r="Z50" s="97">
        <f t="shared" si="4"/>
        <v>203228.64441776084</v>
      </c>
      <c r="AA50" s="94">
        <f>'42'!$S28+'43'!$S28+'44'!$S28+'45'!$S28</f>
        <v>0</v>
      </c>
      <c r="AB50" s="96">
        <f>'42'!$U28/100*'42'!$U$31+'43'!$U28/100*'43'!$U$31+'44'!$U28/100*'44'!$U$31+'45'!$U28/100*'45'!$U$31</f>
        <v>58669.621327262415</v>
      </c>
      <c r="AC50" s="96">
        <f>'42'!$V28/100*'42'!$V$31+'43'!$V28/100*'43'!$V$31+'44'!$V28/100*'44'!$V$31+'45'!$V28/100*'45'!$V$31</f>
        <v>0</v>
      </c>
      <c r="AD50" s="96">
        <f>'42'!$X28/100*'42'!$X$31+'43'!$X28/100*'43'!$X$31+'44'!$X28/100*'44'!$X$31+'45'!$X28/100*'45'!$X$31</f>
        <v>0</v>
      </c>
      <c r="AE50" s="97">
        <f t="shared" si="5"/>
        <v>58669.621327262415</v>
      </c>
    </row>
    <row r="51" spans="1:31" x14ac:dyDescent="0.25">
      <c r="A51" s="70"/>
      <c r="B51" s="94"/>
      <c r="C51" s="96"/>
      <c r="D51" s="96"/>
      <c r="E51" s="96"/>
      <c r="F51" s="96"/>
      <c r="G51" s="66"/>
      <c r="H51" s="10"/>
      <c r="I51" s="10"/>
      <c r="J51" s="10"/>
      <c r="K51" s="107"/>
      <c r="P51" s="107"/>
      <c r="Q51" s="66"/>
      <c r="R51" s="10"/>
      <c r="S51" s="10"/>
      <c r="T51" s="10"/>
      <c r="U51" s="107"/>
      <c r="Z51" s="97"/>
      <c r="AA51" s="79"/>
      <c r="AB51" s="79"/>
      <c r="AC51" s="79"/>
      <c r="AD51" s="79"/>
      <c r="AE51" s="97"/>
    </row>
    <row r="52" spans="1:31" x14ac:dyDescent="0.25">
      <c r="A52" s="52" t="s">
        <v>49</v>
      </c>
      <c r="B52" s="94">
        <f>+'6'!S29+'7'!S29+'8'!S29+'9'!S29+'10'!S29+'11'!S29+'12'!S29+'13'!S29+'14'!S29+'15'!S29</f>
        <v>0</v>
      </c>
      <c r="C52" s="96">
        <f>+'6'!U29/100*'6'!$U$31+'7'!U29/100*'7'!$U$31+'8'!U29/100*'8'!$U$31+'9'!U29/100*'9'!$U$31+'10'!U29/100*'10'!$U$31+'11'!U29/100*'11'!$U$31+'12'!U29/100*'12'!$U$31+'13'!U29/100*'13'!$U$31+'14'!U29/100*'14'!$U$31+'15'!U29/100*'15'!$U$31</f>
        <v>37576.455717799035</v>
      </c>
      <c r="D52" s="87">
        <f>+'6'!V29/100*'6'!$V$31+'7'!V29/100*'7'!$V$31+'8'!V29/100*'8'!$V$31+'9'!V29/100*'9'!$V$31+'10'!V29/100*'10'!$V$31+'11'!V29/100*'11'!$V$31+'12'!V29/100*'12'!$V$31+'13'!V29/100*'13'!$V$31+'14'!V29/100*'14'!$V$31+'15'!V29/100*'15'!$V$31</f>
        <v>0</v>
      </c>
      <c r="E52" s="96">
        <f>+'6'!X29/100*'6'!$X$31+'7'!X29/100*'7'!$X$31+'8'!X29/100*'8'!$X$31+'9'!X29/100*'9'!$X$31+'10'!X29/100*'10'!$X$31+'11'!X29/100*'11'!$X$31+'12'!X29/100*'12'!$X$31+'13'!X29/100*'13'!$X$31+'14'!X29/100*'14'!$X$31+'15'!X29/100*'15'!$X$31</f>
        <v>0</v>
      </c>
      <c r="F52" s="96">
        <f t="shared" si="0"/>
        <v>37576.455717799035</v>
      </c>
      <c r="G52" s="95">
        <f>+'16'!$S29+'17'!$S29+'18'!$S29+'19'!$S29+'20'!$S29</f>
        <v>0</v>
      </c>
      <c r="H52" s="102">
        <f>+'16'!$U29/100*'16'!$U$31+'17'!$U29/100*'17'!$U$31+'18'!$U29/100*'18'!$U$31+'19'!$U29/100*'19'!$U$31+'20'!$U29/100*'20'!$U$31</f>
        <v>0</v>
      </c>
      <c r="I52" s="96">
        <f>+'16'!$V29/100*'16'!$V$31+'17'!$V29/100*'17'!$V$31+'18'!$V29/100*'18'!$V$31+'19'!$V29/100*'19'!$V$31+'20'!$V29/100*'20'!$V$31</f>
        <v>0</v>
      </c>
      <c r="J52" s="96">
        <f>+'16'!$X29/100*'16'!$X$31+'17'!$X29/100*'17'!$X$31+'18'!$X29/100*'18'!$X$31+'19'!$X29/100*'19'!$X$31+'20'!$X29/100*'20'!$X$31</f>
        <v>0</v>
      </c>
      <c r="K52" s="107">
        <f t="shared" si="1"/>
        <v>0</v>
      </c>
      <c r="L52" s="94">
        <f>+'21'!$S29+'22'!$S29+'23'!$S29+'24'!$S29+'25'!$S29</f>
        <v>0</v>
      </c>
      <c r="M52" s="96">
        <f>+'21'!$U29/100*'21'!$U$31+'22'!$U29/100*'22'!$U$31+'23'!$U29/100*'23'!$U$31+'24'!$U29/100*'24'!$U$31+'25'!$U29/100*'25'!$U$31</f>
        <v>358607.20874133898</v>
      </c>
      <c r="N52" s="96">
        <f>+'21'!$V29/100*'21'!$V$31+'22'!$V29/100*'22'!$V$31+'23'!$V29/100*'23'!$V$31+'24'!$V29/100*'24'!$V$31+'25'!$V29/100*'25'!$V$31</f>
        <v>0</v>
      </c>
      <c r="O52" s="96">
        <f>+'21'!$X29/100*'21'!$X$31+'22'!$X29/100*'22'!$X$31+'23'!$X29/100*'23'!$X$31+'24'!$X29/100*'24'!$X$31+'25'!$X29/100*'25'!$X$31</f>
        <v>0</v>
      </c>
      <c r="P52" s="107">
        <f t="shared" si="2"/>
        <v>358607.20874133898</v>
      </c>
      <c r="Q52" s="94">
        <f>+'26'!$S29+'27'!$S29+'28'!$S29+'29'!$S29+'30'!$S29+'31'!$S29+'32'!$S29</f>
        <v>0</v>
      </c>
      <c r="R52" s="96">
        <f>+'26'!$U29/100*'26'!$U$31+'27'!$U29/100*'27'!$U$31+'28'!$U29/100*'28'!$U$31+'29'!$U29/100*'29'!$U$31+'30'!$U29/100*'30'!$U$31+'31'!$U29/100*'31'!$U$31+'32'!$U29/100*'32'!$U$31</f>
        <v>76134.766556028699</v>
      </c>
      <c r="S52" s="96">
        <f>+'26'!$V29/100*'26'!$V$31+'27'!$V29/100*'27'!$V$31+'28'!$V29/100*'28'!$V$31+'29'!$V29/100*'29'!$V$31+'30'!$V29/100*'30'!$V$31+'31'!$V29/100*'31'!$V$31+'32'!$V29/100*'32'!$V$31</f>
        <v>0</v>
      </c>
      <c r="T52" s="96">
        <f>+'26'!$X29/100*'26'!$X$31+'27'!$X29/100*'27'!$X$31+'28'!$X29/100*'28'!$X$31+'29'!$X29/100*'29'!$X$31+'30'!$X29/100*'30'!$X$31+'31'!$X29/100*'31'!$X$31+'32'!$X29/100*'32'!$X$31</f>
        <v>0</v>
      </c>
      <c r="U52" s="107">
        <f t="shared" si="3"/>
        <v>76134.766556028699</v>
      </c>
      <c r="V52" s="308">
        <f>+'33'!$S29+'34'!$S29+'35'!$S29+'36'!$S29+'37'!$S29+'38'!$S29+'39'!$S29+'40'!$S29+'41'!$S29</f>
        <v>0</v>
      </c>
      <c r="W52" s="96">
        <f>+'33'!$U29/100*'33'!$U$31+'34'!$U29/100*'34'!$U$31+'35'!$U29/100*'35'!$U$31+'36'!$U29/100*'36'!$U$31+'37'!$U29/100*'37'!$U$31+'38'!$U29/100*'38'!$U$31+'39'!$U29/100*'39'!$U$31+'40'!$U29/100*'40'!$U$31+'41'!$U29/100*'41'!$U$31</f>
        <v>158908.33880000003</v>
      </c>
      <c r="X52" s="96">
        <f>+'33'!$V29/100*'33'!$V$31+'34'!$V29/100*'34'!$V$31+'35'!$V29/100*'35'!$V$31+'36'!$V29/100*'36'!$V$31+'37'!$V29/100*'37'!$V$31+'38'!$V29/100*'38'!$V$31+'39'!$V29/100*'39'!$V$31+'40'!$V29/100*'40'!$V$31+'41'!$V29/100*'41'!$V$31</f>
        <v>0</v>
      </c>
      <c r="Y52" s="96">
        <f>+'33'!$X29/100*'33'!$X$31+'34'!$X29/100*'34'!$X$31+'35'!$X29/100*'35'!$X$31+'36'!$X29/100*'36'!$X$31+'37'!$X29/100*'37'!$X$31+'38'!$X29/100*'38'!$X$31+'39'!$X29/100*'39'!$X$31+'40'!$X29/100*'40'!$X$31+'41'!$X29/100*'41'!$X$31</f>
        <v>0</v>
      </c>
      <c r="Z52" s="97">
        <f t="shared" si="4"/>
        <v>158908.33880000003</v>
      </c>
      <c r="AA52" s="94">
        <f>'42'!$S29+'43'!$S29+'44'!$S29+'45'!$S29</f>
        <v>0</v>
      </c>
      <c r="AB52" s="96">
        <f>'42'!$U29/100*'42'!$U$31+'43'!$U29/100*'43'!$U$31+'44'!$U29/100*'44'!$U$31+'45'!$U29/100*'45'!$U$31</f>
        <v>99984.524399999995</v>
      </c>
      <c r="AC52" s="96">
        <f>'42'!$V29/100*'42'!$V$31+'43'!$V29/100*'43'!$V$31+'44'!$V29/100*'44'!$V$31+'45'!$V29/100*'45'!$V$31</f>
        <v>0</v>
      </c>
      <c r="AD52" s="96">
        <f>'42'!$X29/100*'42'!$X$31+'43'!$X29/100*'43'!$X$31+'44'!$X29/100*'44'!$X$31+'45'!$X29/100*'45'!$X$31</f>
        <v>0</v>
      </c>
      <c r="AE52" s="97">
        <f t="shared" si="5"/>
        <v>99984.524399999995</v>
      </c>
    </row>
    <row r="53" spans="1:31" x14ac:dyDescent="0.25">
      <c r="A53" s="69"/>
      <c r="B53" s="68"/>
      <c r="C53" s="57"/>
      <c r="D53" s="57"/>
      <c r="E53" s="57"/>
      <c r="F53" s="108">
        <f>SUM(F6:F52)</f>
        <v>29207782.03771903</v>
      </c>
      <c r="G53" s="93"/>
      <c r="H53" s="98"/>
      <c r="I53" s="98"/>
      <c r="J53" s="98"/>
      <c r="K53" s="126">
        <f>SUM(K6:K52)</f>
        <v>8593746</v>
      </c>
      <c r="L53" s="68"/>
      <c r="M53" s="57"/>
      <c r="N53" s="57"/>
      <c r="O53" s="57"/>
      <c r="P53" s="58"/>
      <c r="Q53" s="68"/>
      <c r="R53" s="57"/>
      <c r="S53" s="57"/>
      <c r="T53" s="57"/>
      <c r="U53" s="58"/>
      <c r="V53" s="68"/>
      <c r="W53" s="57"/>
      <c r="X53" s="57"/>
      <c r="Y53" s="57"/>
      <c r="Z53" s="58"/>
      <c r="AA53" s="68"/>
      <c r="AB53" s="57"/>
      <c r="AC53" s="57"/>
      <c r="AD53" s="57"/>
      <c r="AE53" s="58"/>
    </row>
    <row r="54" spans="1:31" x14ac:dyDescent="0.25">
      <c r="A54" s="70" t="s">
        <v>70</v>
      </c>
      <c r="B54" s="94">
        <f>SUM(B6:B52)</f>
        <v>19290205.999809142</v>
      </c>
      <c r="C54" s="96">
        <f>SUM(C6:C52)</f>
        <v>8108244.0379098943</v>
      </c>
      <c r="D54" s="96">
        <f>SUM(D6:D52)</f>
        <v>1428911</v>
      </c>
      <c r="E54" s="96">
        <f>SUM(E6:E52)</f>
        <v>380421</v>
      </c>
      <c r="F54" s="110">
        <f>SUM(B54:E54)</f>
        <v>29207782.037719037</v>
      </c>
      <c r="G54" s="94">
        <f>SUM(G6:G52)</f>
        <v>5812290</v>
      </c>
      <c r="H54" s="96">
        <f>SUM(H6:H52)</f>
        <v>2271022.0000000005</v>
      </c>
      <c r="I54" s="96">
        <f>SUM(I6:I52)</f>
        <v>389519</v>
      </c>
      <c r="J54" s="96">
        <f>SUM(J6:J52)</f>
        <v>120915</v>
      </c>
      <c r="K54" s="110">
        <f>SUM(G54:J54)</f>
        <v>8593746</v>
      </c>
      <c r="L54" s="94">
        <f>SUM(L6:L52)</f>
        <v>5915903.0000000009</v>
      </c>
      <c r="M54" s="96">
        <f>SUM(M6:M52)</f>
        <v>4713263</v>
      </c>
      <c r="N54" s="96">
        <f>SUM(N6:N52)</f>
        <v>1026114.0000000002</v>
      </c>
      <c r="O54" s="96">
        <f>SUM(O6:O52)</f>
        <v>135227</v>
      </c>
      <c r="P54" s="110">
        <f>SUM(L54:O54)</f>
        <v>11790507</v>
      </c>
      <c r="Q54" s="94">
        <f>SUM(Q6:Q52)</f>
        <v>18905516.973859705</v>
      </c>
      <c r="R54" s="96">
        <f>SUM(R6:R52)</f>
        <v>4364486</v>
      </c>
      <c r="S54" s="96">
        <f>SUM(S6:S52)</f>
        <v>218271.99999999997</v>
      </c>
      <c r="T54" s="96">
        <f>SUM(T6:T52)</f>
        <v>88792</v>
      </c>
      <c r="U54" s="110">
        <f>SUM(Q54:T54)</f>
        <v>23577066.973859705</v>
      </c>
      <c r="V54" s="94">
        <f>SUM(V6:V52)</f>
        <v>8112180</v>
      </c>
      <c r="W54" s="96">
        <f>SUM(W6:W52)</f>
        <v>6599758</v>
      </c>
      <c r="X54" s="96">
        <f>SUM(X6:X52)</f>
        <v>1259305.0000000002</v>
      </c>
      <c r="Y54" s="96">
        <f>SUM(Y6:Y52)</f>
        <v>428612</v>
      </c>
      <c r="Z54" s="110">
        <f>SUM(V54:Y54)</f>
        <v>16399855</v>
      </c>
      <c r="AA54" s="94">
        <f>SUM(AA6:AA52)</f>
        <v>2924307</v>
      </c>
      <c r="AB54" s="96">
        <f>SUM(AB6:AB52)</f>
        <v>1279945</v>
      </c>
      <c r="AC54" s="96">
        <f>SUM(AC6:AC52)</f>
        <v>305062</v>
      </c>
      <c r="AD54" s="96">
        <f>SUM(AD6:AD52)</f>
        <v>89860</v>
      </c>
      <c r="AE54" s="110">
        <f>SUM(AA54:AD54)</f>
        <v>4599174</v>
      </c>
    </row>
    <row r="55" spans="1:31" x14ac:dyDescent="0.25">
      <c r="A55" s="52"/>
      <c r="B55" s="11"/>
      <c r="C55" s="12"/>
      <c r="D55" s="12"/>
      <c r="E55" s="12"/>
      <c r="F55" s="53"/>
      <c r="G55" s="11"/>
      <c r="H55" s="12"/>
      <c r="I55" s="12"/>
      <c r="J55" s="12"/>
      <c r="K55" s="53"/>
      <c r="L55" s="11"/>
      <c r="M55" s="12"/>
      <c r="N55" s="12"/>
      <c r="O55" s="12"/>
      <c r="P55" s="53"/>
      <c r="Q55" s="11"/>
      <c r="R55" s="12"/>
      <c r="S55" s="12"/>
      <c r="T55" s="12"/>
      <c r="U55" s="53"/>
      <c r="V55" s="11"/>
      <c r="W55" s="12"/>
      <c r="X55" s="12"/>
      <c r="Y55" s="12"/>
      <c r="Z55" s="53"/>
      <c r="AA55" s="11"/>
      <c r="AB55" s="12"/>
      <c r="AC55" s="12"/>
      <c r="AD55" s="12"/>
      <c r="AE55" s="53"/>
    </row>
  </sheetData>
  <mergeCells count="24">
    <mergeCell ref="AA1:AE1"/>
    <mergeCell ref="AA2:AE2"/>
    <mergeCell ref="AA3:AE3"/>
    <mergeCell ref="AA4:AE4"/>
    <mergeCell ref="Q1:U1"/>
    <mergeCell ref="Q2:U2"/>
    <mergeCell ref="Q3:U3"/>
    <mergeCell ref="Q4:U4"/>
    <mergeCell ref="V1:Z1"/>
    <mergeCell ref="V2:Z2"/>
    <mergeCell ref="V3:Z3"/>
    <mergeCell ref="V4:Z4"/>
    <mergeCell ref="B4:F4"/>
    <mergeCell ref="G4:K4"/>
    <mergeCell ref="L4:P4"/>
    <mergeCell ref="G1:K1"/>
    <mergeCell ref="G2:K2"/>
    <mergeCell ref="G3:K3"/>
    <mergeCell ref="L1:P1"/>
    <mergeCell ref="L2:P2"/>
    <mergeCell ref="L3:P3"/>
    <mergeCell ref="B1:F1"/>
    <mergeCell ref="B2:F2"/>
    <mergeCell ref="B3:F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K55"/>
  <sheetViews>
    <sheetView zoomScale="90" zoomScaleNormal="90" workbookViewId="0">
      <selection activeCell="B4" sqref="B4:K4"/>
    </sheetView>
  </sheetViews>
  <sheetFormatPr defaultRowHeight="15" x14ac:dyDescent="0.25"/>
  <cols>
    <col min="1" max="1" width="30.140625" bestFit="1" customWidth="1"/>
    <col min="2" max="2" width="13.28515625" bestFit="1" customWidth="1"/>
    <col min="4" max="4" width="11.140625" bestFit="1" customWidth="1"/>
    <col min="5" max="5" width="14" bestFit="1" customWidth="1"/>
    <col min="7" max="7" width="13.28515625" bestFit="1" customWidth="1"/>
    <col min="9" max="9" width="11.140625" bestFit="1" customWidth="1"/>
    <col min="10" max="10" width="14" bestFit="1" customWidth="1"/>
  </cols>
  <sheetData>
    <row r="1" spans="1:11" x14ac:dyDescent="0.25">
      <c r="A1" s="69"/>
      <c r="B1" s="348"/>
      <c r="C1" s="348"/>
      <c r="D1" s="348"/>
      <c r="E1" s="348"/>
      <c r="F1" s="348"/>
      <c r="G1" s="348"/>
      <c r="H1" s="348"/>
      <c r="I1" s="348"/>
      <c r="J1" s="348"/>
      <c r="K1" s="348"/>
    </row>
    <row r="2" spans="1:11" x14ac:dyDescent="0.25">
      <c r="A2" s="106" t="s">
        <v>0</v>
      </c>
      <c r="B2" s="350" t="s">
        <v>60</v>
      </c>
      <c r="C2" s="351"/>
      <c r="D2" s="351"/>
      <c r="E2" s="351"/>
      <c r="F2" s="352"/>
      <c r="G2" s="350" t="s">
        <v>60</v>
      </c>
      <c r="H2" s="351"/>
      <c r="I2" s="351"/>
      <c r="J2" s="351"/>
      <c r="K2" s="352"/>
    </row>
    <row r="3" spans="1:11" x14ac:dyDescent="0.25">
      <c r="A3" s="70"/>
      <c r="B3" s="344" t="s">
        <v>83</v>
      </c>
      <c r="C3" s="345"/>
      <c r="D3" s="345"/>
      <c r="E3" s="345"/>
      <c r="F3" s="346"/>
      <c r="G3" s="344" t="s">
        <v>84</v>
      </c>
      <c r="H3" s="345"/>
      <c r="I3" s="345"/>
      <c r="J3" s="345"/>
      <c r="K3" s="346"/>
    </row>
    <row r="4" spans="1:11" x14ac:dyDescent="0.25">
      <c r="A4" s="70"/>
      <c r="B4" s="344" t="s">
        <v>85</v>
      </c>
      <c r="C4" s="345"/>
      <c r="D4" s="345"/>
      <c r="E4" s="345"/>
      <c r="F4" s="346"/>
      <c r="G4" s="344" t="s">
        <v>86</v>
      </c>
      <c r="H4" s="345"/>
      <c r="I4" s="345"/>
      <c r="J4" s="345"/>
      <c r="K4" s="346"/>
    </row>
    <row r="5" spans="1:11" x14ac:dyDescent="0.25">
      <c r="A5" s="52"/>
      <c r="B5" s="51" t="s">
        <v>18</v>
      </c>
      <c r="C5" s="71" t="s">
        <v>19</v>
      </c>
      <c r="D5" s="71" t="s">
        <v>20</v>
      </c>
      <c r="E5" s="71" t="s">
        <v>22</v>
      </c>
      <c r="F5" s="72" t="s">
        <v>65</v>
      </c>
      <c r="G5" s="51" t="s">
        <v>18</v>
      </c>
      <c r="H5" s="71" t="s">
        <v>19</v>
      </c>
      <c r="I5" s="71" t="s">
        <v>20</v>
      </c>
      <c r="J5" s="71" t="s">
        <v>22</v>
      </c>
      <c r="K5" s="72" t="s">
        <v>65</v>
      </c>
    </row>
    <row r="6" spans="1:11" x14ac:dyDescent="0.25">
      <c r="A6" s="70" t="s">
        <v>26</v>
      </c>
      <c r="B6" s="94">
        <f>+'46'!S6+'47'!S6+'48'!S6</f>
        <v>356951.60000000003</v>
      </c>
      <c r="C6" s="96">
        <f>+'46'!U6/100*'46'!$U$31+'47'!U6/100*'47'!$U$31+'48'!U6/100*'48'!$U$31</f>
        <v>0</v>
      </c>
      <c r="D6" s="96">
        <f>+'46'!V6/100*'46'!$V$31+'47'!V6/100*'47'!$V$31+'48'!V6/100*'48'!$V$31</f>
        <v>0</v>
      </c>
      <c r="E6" s="96">
        <f>+'46'!X6/100*'46'!$X$31+'47'!X6/100*'47'!$X$31+'48'!X6/100*'48'!$X$31</f>
        <v>0</v>
      </c>
      <c r="F6" s="96">
        <f>SUM(B6:E6)</f>
        <v>356951.60000000003</v>
      </c>
      <c r="G6" s="93">
        <f>+'49'!S6+'50'!S6+'51'!S6+'52'!S6+'53'!S6+'54'!S6+'55'!S6+'56'!S6+'57'!S6</f>
        <v>288169.94400000002</v>
      </c>
      <c r="H6" s="98">
        <f>+'49'!U6/100*'49'!$U$31+'50'!U6/100*'50'!$U$31+'51'!U6/100*'51'!$U$31+'52'!U6/100*'52'!$U$31+'53'!U6/100*'53'!$U$31+'54'!U6/100*'54'!$U$31+'55'!U6/100*'55'!$U$31+'56'!U6/100*'56'!$U$31+'57'!U6/100*'57'!$U$31</f>
        <v>0</v>
      </c>
      <c r="I6" s="98">
        <f>+'49'!V6/100*'49'!$V$31+'50'!V6/100*'50'!$V$31+'51'!V6/100*'51'!$V$31+'52'!V6/100*'52'!$V$31+'53'!V6/100*'53'!$V$31+'54'!V6/100*'54'!$V$31+'55'!V6/100*'55'!$V$31+'56'!V6/100*'56'!$V$31+'57'!V6/100*'57'!$V$31</f>
        <v>0</v>
      </c>
      <c r="J6" s="98">
        <f>+'49'!X6/100*'49'!$X$31+'50'!X6/100*'50'!$X$31+'51'!X6/100*'51'!$X$31+'52'!X6/100*'52'!$X$31+'53'!X6/100*'53'!$X$31+'54'!X6/100*'54'!$X$31+'55'!X6/100*'55'!$X$31+'56'!X6/100*'56'!$X$31+'57'!X6/100*'57'!$X$31</f>
        <v>0</v>
      </c>
      <c r="K6" s="108">
        <f>SUM(G6:J6)</f>
        <v>288169.94400000002</v>
      </c>
    </row>
    <row r="7" spans="1:11" x14ac:dyDescent="0.25">
      <c r="A7" s="70"/>
      <c r="G7" s="66"/>
      <c r="H7" s="10"/>
      <c r="I7" s="10"/>
      <c r="J7" s="10"/>
      <c r="K7" s="107"/>
    </row>
    <row r="8" spans="1:11" x14ac:dyDescent="0.25">
      <c r="A8" s="70" t="s">
        <v>27</v>
      </c>
      <c r="B8" s="94">
        <f>+'46'!S7+'47'!S7+'48'!S7</f>
        <v>29461.02</v>
      </c>
      <c r="C8" s="96">
        <f>+'46'!U7/100*'46'!$U$31+'47'!U7/100*'47'!$U$31+'48'!U7/100*'48'!$U$31</f>
        <v>160236.65000000002</v>
      </c>
      <c r="D8" s="96">
        <f>+'46'!V7/100*'46'!$V$31+'47'!V7/100*'47'!$V$31+'48'!V7/100*'48'!$V$31</f>
        <v>270867.87000000005</v>
      </c>
      <c r="E8" s="96">
        <f>+'46'!X7/100*'46'!$X$31+'47'!X7/100*'47'!$X$31+'48'!X7/100*'48'!$X$31</f>
        <v>0</v>
      </c>
      <c r="F8" s="96">
        <f>SUM(B8:E8)</f>
        <v>460565.54000000004</v>
      </c>
      <c r="G8" s="94">
        <f>+'49'!S7+'50'!S7+'51'!S7+'52'!S7+'53'!S7+'54'!S7+'55'!S7+'56'!S7+'57'!S7</f>
        <v>79125.825799999991</v>
      </c>
      <c r="H8" s="96">
        <f>+'49'!U7/100*'49'!$U$31+'50'!U7/100*'50'!$U$31+'51'!U7/100*'51'!$U$31+'52'!U7/100*'52'!$U$31+'53'!U7/100*'53'!$U$31+'54'!U7/100*'54'!$U$31+'55'!U7/100*'55'!$U$31+'56'!U7/100*'56'!$U$31+'57'!U7/100*'57'!$U$31</f>
        <v>186008.63649999999</v>
      </c>
      <c r="I8" s="96">
        <f>+'49'!V7/100*'49'!$V$31+'50'!V7/100*'50'!$V$31+'51'!V7/100*'51'!$V$31+'52'!V7/100*'52'!$V$31+'53'!V7/100*'53'!$V$31+'54'!V7/100*'54'!$V$31+'55'!V7/100*'55'!$V$31+'56'!V7/100*'56'!$V$31+'57'!V7/100*'57'!$V$31</f>
        <v>0</v>
      </c>
      <c r="J8" s="96">
        <f>+'49'!X7/100*'49'!$X$31+'50'!X7/100*'50'!$X$31+'51'!X7/100*'51'!$X$31+'52'!X7/100*'52'!$X$31+'53'!X7/100*'53'!$X$31+'54'!X7/100*'54'!$X$31+'55'!X7/100*'55'!$X$31+'56'!X7/100*'56'!$X$31+'57'!X7/100*'57'!$X$31</f>
        <v>0</v>
      </c>
      <c r="K8" s="107">
        <f>SUM(G8:J8)</f>
        <v>265134.46230000001</v>
      </c>
    </row>
    <row r="9" spans="1:11" x14ac:dyDescent="0.25">
      <c r="A9" s="70"/>
      <c r="G9" s="66"/>
      <c r="H9" s="10"/>
      <c r="I9" s="10"/>
      <c r="J9" s="10"/>
      <c r="K9" s="107"/>
    </row>
    <row r="10" spans="1:11" x14ac:dyDescent="0.25">
      <c r="A10" s="70" t="s">
        <v>28</v>
      </c>
      <c r="B10" s="94">
        <f>+'46'!S8+'47'!S8+'48'!S8</f>
        <v>24670.32</v>
      </c>
      <c r="C10" s="96">
        <f>+'46'!U8/100*'46'!$U$31+'47'!U8/100*'47'!$U$31+'48'!U8/100*'48'!$U$31</f>
        <v>0</v>
      </c>
      <c r="D10" s="96">
        <f>+'46'!V8/100*'46'!$V$31+'47'!V8/100*'47'!$V$31+'48'!V8/100*'48'!$V$31</f>
        <v>0</v>
      </c>
      <c r="E10" s="96">
        <f>+'46'!X8/100*'46'!$X$31+'47'!X8/100*'47'!$X$31+'48'!X8/100*'48'!$X$31</f>
        <v>0</v>
      </c>
      <c r="F10" s="96">
        <f>SUM(B10:E10)</f>
        <v>24670.32</v>
      </c>
      <c r="G10" s="94">
        <f>+'49'!S8+'50'!S8+'51'!S8+'52'!S8+'53'!S8+'54'!S8+'55'!S8+'56'!S8+'57'!S8</f>
        <v>66081.686799999996</v>
      </c>
      <c r="H10" s="96">
        <f>+'49'!U8/100*'49'!$U$31+'50'!U8/100*'50'!$U$31+'51'!U8/100*'51'!$U$31+'52'!U8/100*'52'!$U$31+'53'!U8/100*'53'!$U$31+'54'!U8/100*'54'!$U$31+'55'!U8/100*'55'!$U$31+'56'!U8/100*'56'!$U$31+'57'!U8/100*'57'!$U$31</f>
        <v>0</v>
      </c>
      <c r="I10" s="96">
        <f>+'49'!V8/100*'49'!$V$31+'50'!V8/100*'50'!$V$31+'51'!V8/100*'51'!$V$31+'52'!V8/100*'52'!$V$31+'53'!V8/100*'53'!$V$31+'54'!V8/100*'54'!$V$31+'55'!V8/100*'55'!$V$31+'56'!V8/100*'56'!$V$31+'57'!V8/100*'57'!$V$31</f>
        <v>0</v>
      </c>
      <c r="J10" s="96">
        <f>+'49'!X8/100*'49'!$X$31+'50'!X8/100*'50'!$X$31+'51'!X8/100*'51'!$X$31+'52'!X8/100*'52'!$X$31+'53'!X8/100*'53'!$X$31+'54'!X8/100*'54'!$X$31+'55'!X8/100*'55'!$X$31+'56'!X8/100*'56'!$X$31+'57'!X8/100*'57'!$X$31</f>
        <v>0</v>
      </c>
      <c r="K10" s="107">
        <f>SUM(G10:J10)</f>
        <v>66081.686799999996</v>
      </c>
    </row>
    <row r="11" spans="1:11" x14ac:dyDescent="0.25">
      <c r="A11" s="70"/>
      <c r="G11" s="66"/>
      <c r="H11" s="10"/>
      <c r="I11" s="10"/>
      <c r="J11" s="10"/>
      <c r="K11" s="107"/>
    </row>
    <row r="12" spans="1:11" x14ac:dyDescent="0.25">
      <c r="A12" s="70" t="s">
        <v>29</v>
      </c>
      <c r="B12" s="94">
        <f>+'46'!S9+'47'!S9+'48'!S9</f>
        <v>0</v>
      </c>
      <c r="C12" s="96">
        <f>+'46'!U9/100*'46'!$U$31+'47'!U9/100*'47'!$U$31+'48'!U9/100*'48'!$U$31</f>
        <v>0</v>
      </c>
      <c r="D12" s="96">
        <f>+'46'!V9/100*'46'!$V$31+'47'!V9/100*'47'!$V$31+'48'!V9/100*'48'!$V$31</f>
        <v>0</v>
      </c>
      <c r="E12" s="96">
        <f>+'46'!X9/100*'46'!$X$31+'47'!X9/100*'47'!$X$31+'48'!X9/100*'48'!$X$31</f>
        <v>0</v>
      </c>
      <c r="F12" s="96">
        <f>SUM(B12:E12)</f>
        <v>0</v>
      </c>
      <c r="G12" s="94">
        <f>+'49'!S9+'50'!S9+'51'!S9+'52'!S9+'53'!S9+'54'!S9+'55'!S9+'56'!S9+'57'!S9</f>
        <v>0</v>
      </c>
      <c r="H12" s="96">
        <f>+'49'!U9/100*'49'!$U$31+'50'!U9/100*'50'!$U$31+'51'!U9/100*'51'!$U$31+'52'!U9/100*'52'!$U$31+'53'!U9/100*'53'!$U$31+'54'!U9/100*'54'!$U$31+'55'!U9/100*'55'!$U$31+'56'!U9/100*'56'!$U$31+'57'!U9/100*'57'!$U$31</f>
        <v>0</v>
      </c>
      <c r="I12" s="96">
        <f>+'49'!V9/100*'49'!$V$31+'50'!V9/100*'50'!$V$31+'51'!V9/100*'51'!$V$31+'52'!V9/100*'52'!$V$31+'53'!V9/100*'53'!$V$31+'54'!V9/100*'54'!$V$31+'55'!V9/100*'55'!$V$31+'56'!V9/100*'56'!$V$31+'57'!V9/100*'57'!$V$31</f>
        <v>0</v>
      </c>
      <c r="J12" s="96">
        <f>+'49'!X9/100*'49'!$X$31+'50'!X9/100*'50'!$X$31+'51'!X9/100*'51'!$X$31+'52'!X9/100*'52'!$X$31+'53'!X9/100*'53'!$X$31+'54'!X9/100*'54'!$X$31+'55'!X9/100*'55'!$X$31+'56'!X9/100*'56'!$X$31+'57'!X9/100*'57'!$X$31</f>
        <v>0</v>
      </c>
      <c r="K12" s="107">
        <f t="shared" ref="K12:K52" si="0">SUM(G12:J12)</f>
        <v>0</v>
      </c>
    </row>
    <row r="13" spans="1:11" x14ac:dyDescent="0.25">
      <c r="A13" s="70"/>
      <c r="G13" s="66"/>
      <c r="H13" s="10"/>
      <c r="I13" s="10"/>
      <c r="J13" s="10"/>
      <c r="K13" s="107"/>
    </row>
    <row r="14" spans="1:11" x14ac:dyDescent="0.25">
      <c r="A14" s="70" t="s">
        <v>30</v>
      </c>
      <c r="B14" s="94">
        <f>+'46'!S10+'47'!S10+'48'!S10</f>
        <v>0</v>
      </c>
      <c r="C14" s="96">
        <f>+'46'!U10/100*'46'!$U$31+'47'!U10/100*'47'!$U$31+'48'!U10/100*'48'!$U$31</f>
        <v>0</v>
      </c>
      <c r="D14" s="96">
        <f>+'46'!V10/100*'46'!$V$31+'47'!V10/100*'47'!$V$31+'48'!V10/100*'48'!$V$31</f>
        <v>0</v>
      </c>
      <c r="E14" s="96">
        <f>+'46'!X10/100*'46'!$X$31+'47'!X10/100*'47'!$X$31+'48'!X10/100*'48'!$X$31</f>
        <v>0</v>
      </c>
      <c r="F14" s="96">
        <f>SUM(B14:E14)</f>
        <v>0</v>
      </c>
      <c r="G14" s="94">
        <f>+'49'!S10+'50'!S10+'51'!S10+'52'!S10+'53'!S10+'54'!S10+'55'!S10+'56'!S10+'57'!S10</f>
        <v>0</v>
      </c>
      <c r="H14" s="96">
        <f>+'49'!U10/100*'49'!$U$31+'50'!U10/100*'50'!$U$31+'51'!U10/100*'51'!$U$31+'52'!U10/100*'52'!$U$31+'53'!U10/100*'53'!$U$31+'54'!U10/100*'54'!$U$31+'55'!U10/100*'55'!$U$31+'56'!U10/100*'56'!$U$31+'57'!U10/100*'57'!$U$31</f>
        <v>0</v>
      </c>
      <c r="I14" s="96">
        <f>+'49'!V10/100*'49'!$V$31+'50'!V10/100*'50'!$V$31+'51'!V10/100*'51'!$V$31+'52'!V10/100*'52'!$V$31+'53'!V10/100*'53'!$V$31+'54'!V10/100*'54'!$V$31+'55'!V10/100*'55'!$V$31+'56'!V10/100*'56'!$V$31+'57'!V10/100*'57'!$V$31</f>
        <v>0</v>
      </c>
      <c r="J14" s="96">
        <f>+'49'!X10/100*'49'!$X$31+'50'!X10/100*'50'!$X$31+'51'!X10/100*'51'!$X$31+'52'!X10/100*'52'!$X$31+'53'!X10/100*'53'!$X$31+'54'!X10/100*'54'!$X$31+'55'!X10/100*'55'!$X$31+'56'!X10/100*'56'!$X$31+'57'!X10/100*'57'!$X$31</f>
        <v>0</v>
      </c>
      <c r="K14" s="107">
        <f t="shared" si="0"/>
        <v>0</v>
      </c>
    </row>
    <row r="15" spans="1:11" x14ac:dyDescent="0.25">
      <c r="A15" s="70"/>
      <c r="G15" s="66"/>
      <c r="H15" s="10"/>
      <c r="I15" s="10"/>
      <c r="J15" s="10"/>
      <c r="K15" s="107"/>
    </row>
    <row r="16" spans="1:11" x14ac:dyDescent="0.25">
      <c r="A16" s="70" t="s">
        <v>31</v>
      </c>
      <c r="B16" s="94">
        <f>+'46'!S11+'47'!S11+'48'!S11</f>
        <v>0</v>
      </c>
      <c r="C16" s="96">
        <f>+'46'!U11/100*'46'!$U$31+'47'!U11/100*'47'!$U$31+'48'!U11/100*'48'!$U$31</f>
        <v>0</v>
      </c>
      <c r="D16" s="96">
        <f>+'46'!V11/100*'46'!$V$31+'47'!V11/100*'47'!$V$31+'48'!V11/100*'48'!$V$31</f>
        <v>0</v>
      </c>
      <c r="E16" s="96">
        <f>+'46'!X11/100*'46'!$X$31+'47'!X11/100*'47'!$X$31+'48'!X11/100*'48'!$X$31</f>
        <v>0</v>
      </c>
      <c r="F16" s="96">
        <f>SUM(B16:E16)</f>
        <v>0</v>
      </c>
      <c r="G16" s="94">
        <f>+'49'!S11+'50'!S11+'51'!S11+'52'!S11+'53'!S11+'54'!S11+'55'!S11+'56'!S11+'57'!S11</f>
        <v>0</v>
      </c>
      <c r="H16" s="96">
        <f>+'49'!U11/100*'49'!$U$31+'50'!U11/100*'50'!$U$31+'51'!U11/100*'51'!$U$31+'52'!U11/100*'52'!$U$31+'53'!U11/100*'53'!$U$31+'54'!U11/100*'54'!$U$31+'55'!U11/100*'55'!$U$31+'56'!U11/100*'56'!$U$31+'57'!U11/100*'57'!$U$31</f>
        <v>0</v>
      </c>
      <c r="I16" s="96">
        <f>+'49'!V11/100*'49'!$V$31+'50'!V11/100*'50'!$V$31+'51'!V11/100*'51'!$V$31+'52'!V11/100*'52'!$V$31+'53'!V11/100*'53'!$V$31+'54'!V11/100*'54'!$V$31+'55'!V11/100*'55'!$V$31+'56'!V11/100*'56'!$V$31+'57'!V11/100*'57'!$V$31</f>
        <v>0</v>
      </c>
      <c r="J16" s="96">
        <f>+'49'!X11/100*'49'!$X$31+'50'!X11/100*'50'!$X$31+'51'!X11/100*'51'!$X$31+'52'!X11/100*'52'!$X$31+'53'!X11/100*'53'!$X$31+'54'!X11/100*'54'!$X$31+'55'!X11/100*'55'!$X$31+'56'!X11/100*'56'!$X$31+'57'!X11/100*'57'!$X$31</f>
        <v>0</v>
      </c>
      <c r="K16" s="107">
        <f t="shared" si="0"/>
        <v>0</v>
      </c>
    </row>
    <row r="17" spans="1:11" x14ac:dyDescent="0.25">
      <c r="A17" s="70"/>
      <c r="G17" s="66"/>
      <c r="H17" s="10"/>
      <c r="I17" s="10"/>
      <c r="J17" s="10"/>
      <c r="K17" s="107"/>
    </row>
    <row r="18" spans="1:11" x14ac:dyDescent="0.25">
      <c r="A18" s="70" t="s">
        <v>32</v>
      </c>
      <c r="B18" s="94">
        <f>+'46'!S12+'47'!S12+'48'!S12</f>
        <v>0</v>
      </c>
      <c r="C18" s="96">
        <f>+'46'!U12/100*'46'!$U$31+'47'!U12/100*'47'!$U$31+'48'!U12/100*'48'!$U$31</f>
        <v>0</v>
      </c>
      <c r="D18" s="96">
        <f>+'46'!V12/100*'46'!$V$31+'47'!V12/100*'47'!$V$31+'48'!V12/100*'48'!$V$31</f>
        <v>0</v>
      </c>
      <c r="E18" s="96">
        <f>+'46'!X12/100*'46'!$X$31+'47'!X12/100*'47'!$X$31+'48'!X12/100*'48'!$X$31</f>
        <v>0</v>
      </c>
      <c r="F18" s="96">
        <f>SUM(B18:E18)</f>
        <v>0</v>
      </c>
      <c r="G18" s="94">
        <f>+'49'!S12+'50'!S12+'51'!S12+'52'!S12+'53'!S12+'54'!S12+'55'!S12+'56'!S12+'57'!S12</f>
        <v>0</v>
      </c>
      <c r="H18" s="96">
        <f>+'49'!U12/100*'49'!$U$31+'50'!U12/100*'50'!$U$31+'51'!U12/100*'51'!$U$31+'52'!U12/100*'52'!$U$31+'53'!U12/100*'53'!$U$31+'54'!U12/100*'54'!$U$31+'55'!U12/100*'55'!$U$31+'56'!U12/100*'56'!$U$31+'57'!U12/100*'57'!$U$31</f>
        <v>0</v>
      </c>
      <c r="I18" s="96">
        <f>+'49'!V12/100*'49'!$V$31+'50'!V12/100*'50'!$V$31+'51'!V12/100*'51'!$V$31+'52'!V12/100*'52'!$V$31+'53'!V12/100*'53'!$V$31+'54'!V12/100*'54'!$V$31+'55'!V12/100*'55'!$V$31+'56'!V12/100*'56'!$V$31+'57'!V12/100*'57'!$V$31</f>
        <v>0</v>
      </c>
      <c r="J18" s="96">
        <f>+'49'!X12/100*'49'!$X$31+'50'!X12/100*'50'!$X$31+'51'!X12/100*'51'!$X$31+'52'!X12/100*'52'!$X$31+'53'!X12/100*'53'!$X$31+'54'!X12/100*'54'!$X$31+'55'!X12/100*'55'!$X$31+'56'!X12/100*'56'!$X$31+'57'!X12/100*'57'!$X$31</f>
        <v>0</v>
      </c>
      <c r="K18" s="107">
        <f t="shared" si="0"/>
        <v>0</v>
      </c>
    </row>
    <row r="19" spans="1:11" x14ac:dyDescent="0.25">
      <c r="A19" s="70"/>
      <c r="G19" s="66"/>
      <c r="H19" s="10"/>
      <c r="I19" s="10"/>
      <c r="J19" s="10"/>
      <c r="K19" s="107"/>
    </row>
    <row r="20" spans="1:11" x14ac:dyDescent="0.25">
      <c r="A20" s="70" t="s">
        <v>33</v>
      </c>
      <c r="B20" s="94">
        <f>+'46'!S13+'47'!S13+'48'!S13</f>
        <v>0</v>
      </c>
      <c r="C20" s="96">
        <f>+'46'!U13/100*'46'!$U$31+'47'!U13/100*'47'!$U$31+'48'!U13/100*'48'!$U$31</f>
        <v>0</v>
      </c>
      <c r="D20" s="96">
        <f>+'46'!V13/100*'46'!$V$31+'47'!V13/100*'47'!$V$31+'48'!V13/100*'48'!$V$31</f>
        <v>0</v>
      </c>
      <c r="E20" s="96">
        <f>+'46'!X13/100*'46'!$X$31+'47'!X13/100*'47'!$X$31+'48'!X13/100*'48'!$X$31</f>
        <v>0</v>
      </c>
      <c r="F20" s="96">
        <f>SUM(B20:E20)</f>
        <v>0</v>
      </c>
      <c r="G20" s="94">
        <f>+'49'!S13+'50'!S13+'51'!S13+'52'!S13+'53'!S13+'54'!S13+'55'!S13+'56'!S13+'57'!S13</f>
        <v>94733.8</v>
      </c>
      <c r="H20" s="96">
        <f>+'49'!U13/100*'49'!$U$31+'50'!U13/100*'50'!$U$31+'51'!U13/100*'51'!$U$31+'52'!U13/100*'52'!$U$31+'53'!U13/100*'53'!$U$31+'54'!U13/100*'54'!$U$31+'55'!U13/100*'55'!$U$31+'56'!U13/100*'56'!$U$31+'57'!U13/100*'57'!$U$31</f>
        <v>603090.09000000008</v>
      </c>
      <c r="I20" s="96">
        <f>+'49'!V13/100*'49'!$V$31+'50'!V13/100*'50'!$V$31+'51'!V13/100*'51'!$V$31+'52'!V13/100*'52'!$V$31+'53'!V13/100*'53'!$V$31+'54'!V13/100*'54'!$V$31+'55'!V13/100*'55'!$V$31+'56'!V13/100*'56'!$V$31+'57'!V13/100*'57'!$V$31</f>
        <v>0</v>
      </c>
      <c r="J20" s="96">
        <f>+'49'!X13/100*'49'!$X$31+'50'!X13/100*'50'!$X$31+'51'!X13/100*'51'!$X$31+'52'!X13/100*'52'!$X$31+'53'!X13/100*'53'!$X$31+'54'!X13/100*'54'!$X$31+'55'!X13/100*'55'!$X$31+'56'!X13/100*'56'!$X$31+'57'!X13/100*'57'!$X$31</f>
        <v>0</v>
      </c>
      <c r="K20" s="107">
        <f t="shared" si="0"/>
        <v>697823.89000000013</v>
      </c>
    </row>
    <row r="21" spans="1:11" x14ac:dyDescent="0.25">
      <c r="A21" s="70"/>
      <c r="G21" s="66"/>
      <c r="H21" s="10"/>
      <c r="I21" s="10"/>
      <c r="J21" s="10"/>
      <c r="K21" s="107"/>
    </row>
    <row r="22" spans="1:11" x14ac:dyDescent="0.25">
      <c r="A22" s="70" t="s">
        <v>34</v>
      </c>
      <c r="B22" s="94">
        <f>+'46'!S14+'47'!S14+'48'!S14</f>
        <v>0</v>
      </c>
      <c r="C22" s="96">
        <f>+'46'!U14/100*'46'!$U$31+'47'!U14/100*'47'!$U$31+'48'!U14/100*'48'!$U$31</f>
        <v>0</v>
      </c>
      <c r="D22" s="96">
        <f>+'46'!V14/100*'46'!$V$31+'47'!V14/100*'47'!$V$31+'48'!V14/100*'48'!$V$31</f>
        <v>0</v>
      </c>
      <c r="E22" s="96">
        <f>+'46'!X14/100*'46'!$X$31+'47'!X14/100*'47'!$X$31+'48'!X14/100*'48'!$X$31</f>
        <v>0</v>
      </c>
      <c r="F22" s="96">
        <f>SUM(B22:E22)</f>
        <v>0</v>
      </c>
      <c r="G22" s="94">
        <f>+'49'!S14+'50'!S14+'51'!S14+'52'!S14+'53'!S14+'54'!S14+'55'!S14+'56'!S14+'57'!S14</f>
        <v>0</v>
      </c>
      <c r="H22" s="96">
        <f>+'49'!U14/100*'49'!$U$31+'50'!U14/100*'50'!$U$31+'51'!U14/100*'51'!$U$31+'52'!U14/100*'52'!$U$31+'53'!U14/100*'53'!$U$31+'54'!U14/100*'54'!$U$31+'55'!U14/100*'55'!$U$31+'56'!U14/100*'56'!$U$31+'57'!U14/100*'57'!$U$31</f>
        <v>0</v>
      </c>
      <c r="I22" s="96">
        <f>+'49'!V14/100*'49'!$V$31+'50'!V14/100*'50'!$V$31+'51'!V14/100*'51'!$V$31+'52'!V14/100*'52'!$V$31+'53'!V14/100*'53'!$V$31+'54'!V14/100*'54'!$V$31+'55'!V14/100*'55'!$V$31+'56'!V14/100*'56'!$V$31+'57'!V14/100*'57'!$V$31</f>
        <v>0</v>
      </c>
      <c r="J22" s="96">
        <f>+'49'!X14/100*'49'!$X$31+'50'!X14/100*'50'!$X$31+'51'!X14/100*'51'!$X$31+'52'!X14/100*'52'!$X$31+'53'!X14/100*'53'!$X$31+'54'!X14/100*'54'!$X$31+'55'!X14/100*'55'!$X$31+'56'!X14/100*'56'!$X$31+'57'!X14/100*'57'!$X$31</f>
        <v>0</v>
      </c>
      <c r="K22" s="107">
        <f t="shared" si="0"/>
        <v>0</v>
      </c>
    </row>
    <row r="23" spans="1:11" x14ac:dyDescent="0.25">
      <c r="A23" s="70"/>
      <c r="G23" s="66"/>
      <c r="H23" s="10"/>
      <c r="I23" s="10"/>
      <c r="J23" s="10"/>
      <c r="K23" s="107"/>
    </row>
    <row r="24" spans="1:11" x14ac:dyDescent="0.25">
      <c r="A24" s="70" t="s">
        <v>35</v>
      </c>
      <c r="B24" s="94">
        <f>+'46'!S15+'47'!S15+'48'!S15</f>
        <v>114140.54000000001</v>
      </c>
      <c r="C24" s="96">
        <f>+'46'!U15/100*'46'!$U$31+'47'!U15/100*'47'!$U$31+'48'!U15/100*'48'!$U$31</f>
        <v>0</v>
      </c>
      <c r="D24" s="96">
        <f>+'46'!V15/100*'46'!$V$31+'47'!V15/100*'47'!$V$31+'48'!V15/100*'48'!$V$31</f>
        <v>0</v>
      </c>
      <c r="E24" s="96">
        <f>+'46'!X15/100*'46'!$X$31+'47'!X15/100*'47'!$X$31+'48'!X15/100*'48'!$X$31</f>
        <v>0</v>
      </c>
      <c r="F24" s="96">
        <f>SUM(B24:E24)</f>
        <v>114140.54000000001</v>
      </c>
      <c r="G24" s="94">
        <f>+'49'!S15+'50'!S15+'51'!S15+'52'!S15+'53'!S15+'54'!S15+'55'!S15+'56'!S15+'57'!S15</f>
        <v>29946.35</v>
      </c>
      <c r="H24" s="96">
        <f>+'49'!U15/100*'49'!$U$31+'50'!U15/100*'50'!$U$31+'51'!U15/100*'51'!$U$31+'52'!U15/100*'52'!$U$31+'53'!U15/100*'53'!$U$31+'54'!U15/100*'54'!$U$31+'55'!U15/100*'55'!$U$31+'56'!U15/100*'56'!$U$31+'57'!U15/100*'57'!$U$31</f>
        <v>0</v>
      </c>
      <c r="I24" s="96">
        <f>+'49'!V15/100*'49'!$V$31+'50'!V15/100*'50'!$V$31+'51'!V15/100*'51'!$V$31+'52'!V15/100*'52'!$V$31+'53'!V15/100*'53'!$V$31+'54'!V15/100*'54'!$V$31+'55'!V15/100*'55'!$V$31+'56'!V15/100*'56'!$V$31+'57'!V15/100*'57'!$V$31</f>
        <v>0</v>
      </c>
      <c r="J24" s="96">
        <f>+'49'!X15/100*'49'!$X$31+'50'!X15/100*'50'!$X$31+'51'!X15/100*'51'!$X$31+'52'!X15/100*'52'!$X$31+'53'!X15/100*'53'!$X$31+'54'!X15/100*'54'!$X$31+'55'!X15/100*'55'!$X$31+'56'!X15/100*'56'!$X$31+'57'!X15/100*'57'!$X$31</f>
        <v>0</v>
      </c>
      <c r="K24" s="107">
        <f t="shared" si="0"/>
        <v>29946.35</v>
      </c>
    </row>
    <row r="25" spans="1:11" x14ac:dyDescent="0.25">
      <c r="A25" s="70"/>
      <c r="G25" s="66"/>
      <c r="H25" s="10"/>
      <c r="I25" s="10"/>
      <c r="J25" s="10"/>
      <c r="K25" s="107"/>
    </row>
    <row r="26" spans="1:11" x14ac:dyDescent="0.25">
      <c r="A26" s="70" t="s">
        <v>36</v>
      </c>
      <c r="B26" s="94">
        <f>+'46'!S16+'47'!S16+'48'!S16</f>
        <v>10562670.460000001</v>
      </c>
      <c r="C26" s="96">
        <f>+'46'!U16/100*'46'!$U$31+'47'!U16/100*'47'!$U$31+'48'!U16/100*'48'!$U$31</f>
        <v>0</v>
      </c>
      <c r="D26" s="96">
        <f>+'46'!V16/100*'46'!$V$31+'47'!V16/100*'47'!$V$31+'48'!V16/100*'48'!$V$31</f>
        <v>0</v>
      </c>
      <c r="E26" s="96">
        <f>+'46'!X16/100*'46'!$X$31+'47'!X16/100*'47'!$X$31+'48'!X16/100*'48'!$X$31</f>
        <v>0</v>
      </c>
      <c r="F26" s="96">
        <f>SUM(B26:E26)</f>
        <v>10562670.460000001</v>
      </c>
      <c r="G26" s="94">
        <f>+'49'!S16+'50'!S16+'51'!S16+'52'!S16+'53'!S16+'54'!S16+'55'!S16+'56'!S16+'57'!S16</f>
        <v>8977844</v>
      </c>
      <c r="H26" s="96">
        <f>+'49'!U16/100*'49'!$U$31+'50'!U16/100*'50'!$U$31+'51'!U16/100*'51'!$U$31+'52'!U16/100*'52'!$U$31+'53'!U16/100*'53'!$U$31+'54'!U16/100*'54'!$U$31+'55'!U16/100*'55'!$U$31+'56'!U16/100*'56'!$U$31+'57'!U16/100*'57'!$U$31</f>
        <v>0</v>
      </c>
      <c r="I26" s="96">
        <f>+'49'!V16/100*'49'!$V$31+'50'!V16/100*'50'!$V$31+'51'!V16/100*'51'!$V$31+'52'!V16/100*'52'!$V$31+'53'!V16/100*'53'!$V$31+'54'!V16/100*'54'!$V$31+'55'!V16/100*'55'!$V$31+'56'!V16/100*'56'!$V$31+'57'!V16/100*'57'!$V$31</f>
        <v>0</v>
      </c>
      <c r="J26" s="96">
        <f>+'49'!X16/100*'49'!$X$31+'50'!X16/100*'50'!$X$31+'51'!X16/100*'51'!$X$31+'52'!X16/100*'52'!$X$31+'53'!X16/100*'53'!$X$31+'54'!X16/100*'54'!$X$31+'55'!X16/100*'55'!$X$31+'56'!X16/100*'56'!$X$31+'57'!X16/100*'57'!$X$31</f>
        <v>0</v>
      </c>
      <c r="K26" s="107">
        <f t="shared" si="0"/>
        <v>8977844</v>
      </c>
    </row>
    <row r="27" spans="1:11" x14ac:dyDescent="0.25">
      <c r="A27" s="70"/>
      <c r="G27" s="66"/>
      <c r="H27" s="10"/>
      <c r="I27" s="10"/>
      <c r="J27" s="10"/>
      <c r="K27" s="107"/>
    </row>
    <row r="28" spans="1:11" x14ac:dyDescent="0.25">
      <c r="A28" s="70" t="s">
        <v>37</v>
      </c>
      <c r="B28" s="94">
        <f>+'46'!S17+'47'!S17+'48'!S17</f>
        <v>2662634.0599999996</v>
      </c>
      <c r="C28" s="96">
        <f>+'46'!U17/100*'46'!$U$31+'47'!U17/100*'47'!$U$31+'48'!U17/100*'48'!$U$31</f>
        <v>646004.93952000001</v>
      </c>
      <c r="D28" s="96">
        <f>+'46'!V17/100*'46'!$V$31+'47'!V17/100*'47'!$V$31+'48'!V17/100*'48'!$V$31</f>
        <v>7626751.1300000008</v>
      </c>
      <c r="E28" s="96">
        <f>+'46'!X17/100*'46'!$X$31+'47'!X17/100*'47'!$X$31+'48'!X17/100*'48'!$X$31</f>
        <v>0</v>
      </c>
      <c r="F28" s="96">
        <f>SUM(B28:E28)</f>
        <v>10935390.129520001</v>
      </c>
      <c r="G28" s="94">
        <f>+'49'!S17+'50'!S17+'51'!S17+'52'!S17+'53'!S17+'54'!S17+'55'!S17+'56'!S17+'57'!S17</f>
        <v>2691063.3933999999</v>
      </c>
      <c r="H28" s="96">
        <f>+'49'!U17/100*'49'!$U$31+'50'!U17/100*'50'!$U$31+'51'!U17/100*'51'!$U$31+'52'!U17/100*'52'!$U$31+'53'!U17/100*'53'!$U$31+'54'!U17/100*'54'!$U$31+'55'!U17/100*'55'!$U$31+'56'!U17/100*'56'!$U$31+'57'!U17/100*'57'!$U$31</f>
        <v>373336.77043333335</v>
      </c>
      <c r="I28" s="96">
        <f>+'49'!V17/100*'49'!$V$31+'50'!V17/100*'50'!$V$31+'51'!V17/100*'51'!$V$31+'52'!V17/100*'52'!$V$31+'53'!V17/100*'53'!$V$31+'54'!V17/100*'54'!$V$31+'55'!V17/100*'55'!$V$31+'56'!V17/100*'56'!$V$31+'57'!V17/100*'57'!$V$31</f>
        <v>10124912</v>
      </c>
      <c r="J28" s="96">
        <f>+'49'!X17/100*'49'!$X$31+'50'!X17/100*'50'!$X$31+'51'!X17/100*'51'!$X$31+'52'!X17/100*'52'!$X$31+'53'!X17/100*'53'!$X$31+'54'!X17/100*'54'!$X$31+'55'!X17/100*'55'!$X$31+'56'!X17/100*'56'!$X$31+'57'!X17/100*'57'!$X$31</f>
        <v>0</v>
      </c>
      <c r="K28" s="107">
        <f t="shared" si="0"/>
        <v>13189312.163833333</v>
      </c>
    </row>
    <row r="29" spans="1:11" x14ac:dyDescent="0.25">
      <c r="A29" s="70"/>
      <c r="G29" s="66"/>
      <c r="H29" s="10"/>
      <c r="I29" s="10"/>
      <c r="J29" s="10"/>
      <c r="K29" s="107"/>
    </row>
    <row r="30" spans="1:11" x14ac:dyDescent="0.25">
      <c r="A30" s="70" t="s">
        <v>38</v>
      </c>
      <c r="B30" s="94">
        <f>+'46'!S18+'47'!S18+'48'!S18</f>
        <v>0</v>
      </c>
      <c r="C30" s="96">
        <f>+'46'!U18/100*'46'!$U$31+'47'!U18/100*'47'!$U$31+'48'!U18/100*'48'!$U$31</f>
        <v>0</v>
      </c>
      <c r="D30" s="96">
        <f>+'46'!V18/100*'46'!$V$31+'47'!V18/100*'47'!$V$31+'48'!V18/100*'48'!$V$31</f>
        <v>0</v>
      </c>
      <c r="E30" s="96">
        <f>+'46'!X18/100*'46'!$X$31+'47'!X18/100*'47'!$X$31+'48'!X18/100*'48'!$X$31</f>
        <v>0</v>
      </c>
      <c r="F30" s="96">
        <f>SUM(B30:E30)</f>
        <v>0</v>
      </c>
      <c r="G30" s="94">
        <f>+'49'!S18+'50'!S18+'51'!S18+'52'!S18+'53'!S18+'54'!S18+'55'!S18+'56'!S18+'57'!S18</f>
        <v>0</v>
      </c>
      <c r="H30" s="96">
        <f>+'49'!U18/100*'49'!$U$31+'50'!U18/100*'50'!$U$31+'51'!U18/100*'51'!$U$31+'52'!U18/100*'52'!$U$31+'53'!U18/100*'53'!$U$31+'54'!U18/100*'54'!$U$31+'55'!U18/100*'55'!$U$31+'56'!U18/100*'56'!$U$31+'57'!U18/100*'57'!$U$31</f>
        <v>0</v>
      </c>
      <c r="I30" s="96">
        <f>+'49'!V18/100*'49'!$V$31+'50'!V18/100*'50'!$V$31+'51'!V18/100*'51'!$V$31+'52'!V18/100*'52'!$V$31+'53'!V18/100*'53'!$V$31+'54'!V18/100*'54'!$V$31+'55'!V18/100*'55'!$V$31+'56'!V18/100*'56'!$V$31+'57'!V18/100*'57'!$V$31</f>
        <v>0</v>
      </c>
      <c r="J30" s="96">
        <f>+'49'!X18/100*'49'!$X$31+'50'!X18/100*'50'!$X$31+'51'!X18/100*'51'!$X$31+'52'!X18/100*'52'!$X$31+'53'!X18/100*'53'!$X$31+'54'!X18/100*'54'!$X$31+'55'!X18/100*'55'!$X$31+'56'!X18/100*'56'!$X$31+'57'!X18/100*'57'!$X$31</f>
        <v>0</v>
      </c>
      <c r="K30" s="107">
        <f t="shared" si="0"/>
        <v>0</v>
      </c>
    </row>
    <row r="31" spans="1:11" x14ac:dyDescent="0.25">
      <c r="A31" s="70"/>
      <c r="G31" s="66"/>
      <c r="H31" s="10"/>
      <c r="I31" s="10"/>
      <c r="J31" s="10"/>
      <c r="K31" s="107"/>
    </row>
    <row r="32" spans="1:11" x14ac:dyDescent="0.25">
      <c r="A32" s="70" t="s">
        <v>39</v>
      </c>
      <c r="B32" s="94">
        <f>+'46'!S19+'47'!S19+'48'!S19</f>
        <v>0</v>
      </c>
      <c r="C32" s="96">
        <f>+'46'!U19/100*'46'!$U$31+'47'!U19/100*'47'!$U$31+'48'!U19/100*'48'!$U$31</f>
        <v>5712680.8140479997</v>
      </c>
      <c r="D32" s="96">
        <f>+'46'!V19/100*'46'!$V$31+'47'!V19/100*'47'!$V$31+'48'!V19/100*'48'!$V$31</f>
        <v>0</v>
      </c>
      <c r="E32" s="96">
        <f>+'46'!X19/100*'46'!$X$31+'47'!X19/100*'47'!$X$31+'48'!X19/100*'48'!$X$31</f>
        <v>0</v>
      </c>
      <c r="F32" s="96">
        <f>SUM(B32:E32)</f>
        <v>5712680.8140479997</v>
      </c>
      <c r="G32" s="94">
        <f>+'49'!S19+'50'!S19+'51'!S19+'52'!S19+'53'!S19+'54'!S19+'55'!S19+'56'!S19+'57'!S19</f>
        <v>0</v>
      </c>
      <c r="H32" s="96">
        <f>+'49'!U19/100*'49'!$U$31+'50'!U19/100*'50'!$U$31+'51'!U19/100*'51'!$U$31+'52'!U19/100*'52'!$U$31+'53'!U19/100*'53'!$U$31+'54'!U19/100*'54'!$U$31+'55'!U19/100*'55'!$U$31+'56'!U19/100*'56'!$U$31+'57'!U19/100*'57'!$U$31</f>
        <v>2565627.5792268296</v>
      </c>
      <c r="I32" s="96">
        <f>+'49'!V19/100*'49'!$V$31+'50'!V19/100*'50'!$V$31+'51'!V19/100*'51'!$V$31+'52'!V19/100*'52'!$V$31+'53'!V19/100*'53'!$V$31+'54'!V19/100*'54'!$V$31+'55'!V19/100*'55'!$V$31+'56'!V19/100*'56'!$V$31+'57'!V19/100*'57'!$V$31</f>
        <v>0</v>
      </c>
      <c r="J32" s="96">
        <f>+'49'!X19/100*'49'!$X$31+'50'!X19/100*'50'!$X$31+'51'!X19/100*'51'!$X$31+'52'!X19/100*'52'!$X$31+'53'!X19/100*'53'!$X$31+'54'!X19/100*'54'!$X$31+'55'!X19/100*'55'!$X$31+'56'!X19/100*'56'!$X$31+'57'!X19/100*'57'!$X$31</f>
        <v>0</v>
      </c>
      <c r="K32" s="107">
        <f t="shared" si="0"/>
        <v>2565627.5792268296</v>
      </c>
    </row>
    <row r="33" spans="1:11" x14ac:dyDescent="0.25">
      <c r="A33" s="70"/>
      <c r="G33" s="66"/>
      <c r="H33" s="10"/>
      <c r="I33" s="10"/>
      <c r="J33" s="10"/>
      <c r="K33" s="107"/>
    </row>
    <row r="34" spans="1:11" x14ac:dyDescent="0.25">
      <c r="A34" s="70" t="s">
        <v>40</v>
      </c>
      <c r="B34" s="94">
        <f>+'46'!S20+'47'!S20+'48'!S20</f>
        <v>0</v>
      </c>
      <c r="C34" s="96">
        <f>+'46'!U20/100*'46'!$U$31+'47'!U20/100*'47'!$U$31+'48'!U20/100*'48'!$U$31</f>
        <v>285960.50731200003</v>
      </c>
      <c r="D34" s="96">
        <f>+'46'!V20/100*'46'!$V$31+'47'!V20/100*'47'!$V$31+'48'!V20/100*'48'!$V$31</f>
        <v>0</v>
      </c>
      <c r="E34" s="96">
        <f>+'46'!X20/100*'46'!$X$31+'47'!X20/100*'47'!$X$31+'48'!X20/100*'48'!$X$31</f>
        <v>0</v>
      </c>
      <c r="F34" s="96">
        <f>SUM(B34:E34)</f>
        <v>285960.50731200003</v>
      </c>
      <c r="G34" s="94">
        <f>+'49'!S20+'50'!S20+'51'!S20+'52'!S20+'53'!S20+'54'!S20+'55'!S20+'56'!S20+'57'!S20</f>
        <v>0</v>
      </c>
      <c r="H34" s="96">
        <f>+'49'!U20/100*'49'!$U$31+'50'!U20/100*'50'!$U$31+'51'!U20/100*'51'!$U$31+'52'!U20/100*'52'!$U$31+'53'!U20/100*'53'!$U$31+'54'!U20/100*'54'!$U$31+'55'!U20/100*'55'!$U$31+'56'!U20/100*'56'!$U$31+'57'!U20/100*'57'!$U$31</f>
        <v>254302.00617551946</v>
      </c>
      <c r="I34" s="96">
        <f>+'49'!V20/100*'49'!$V$31+'50'!V20/100*'50'!$V$31+'51'!V20/100*'51'!$V$31+'52'!V20/100*'52'!$V$31+'53'!V20/100*'53'!$V$31+'54'!V20/100*'54'!$V$31+'55'!V20/100*'55'!$V$31+'56'!V20/100*'56'!$V$31+'57'!V20/100*'57'!$V$31</f>
        <v>0</v>
      </c>
      <c r="J34" s="96">
        <f>+'49'!X20/100*'49'!$X$31+'50'!X20/100*'50'!$X$31+'51'!X20/100*'51'!$X$31+'52'!X20/100*'52'!$X$31+'53'!X20/100*'53'!$X$31+'54'!X20/100*'54'!$X$31+'55'!X20/100*'55'!$X$31+'56'!X20/100*'56'!$X$31+'57'!X20/100*'57'!$X$31</f>
        <v>0</v>
      </c>
      <c r="K34" s="107">
        <f t="shared" si="0"/>
        <v>254302.00617551946</v>
      </c>
    </row>
    <row r="35" spans="1:11" x14ac:dyDescent="0.25">
      <c r="A35" s="70"/>
      <c r="G35" s="66"/>
      <c r="H35" s="10"/>
      <c r="I35" s="10"/>
      <c r="J35" s="10"/>
      <c r="K35" s="107"/>
    </row>
    <row r="36" spans="1:11" x14ac:dyDescent="0.25">
      <c r="A36" s="70" t="s">
        <v>41</v>
      </c>
      <c r="B36" s="94">
        <f>+'46'!S21+'47'!S21+'48'!S21</f>
        <v>0</v>
      </c>
      <c r="C36" s="96">
        <f>+'46'!U21/100*'46'!$U$31+'47'!U21/100*'47'!$U$31+'48'!U21/100*'48'!$U$31</f>
        <v>396637.79920000001</v>
      </c>
      <c r="D36" s="96">
        <f>+'46'!V21/100*'46'!$V$31+'47'!V21/100*'47'!$V$31+'48'!V21/100*'48'!$V$31</f>
        <v>0</v>
      </c>
      <c r="E36" s="96">
        <f>+'46'!X21/100*'46'!$X$31+'47'!X21/100*'47'!$X$31+'48'!X21/100*'48'!$X$31</f>
        <v>0</v>
      </c>
      <c r="F36" s="96">
        <f>SUM(B36:E36)</f>
        <v>396637.79920000001</v>
      </c>
      <c r="G36" s="94">
        <f>+'49'!S21+'50'!S21+'51'!S21+'52'!S21+'53'!S21+'54'!S21+'55'!S21+'56'!S21+'57'!S21</f>
        <v>0</v>
      </c>
      <c r="H36" s="96">
        <f>+'49'!U21/100*'49'!$U$31+'50'!U21/100*'50'!$U$31+'51'!U21/100*'51'!$U$31+'52'!U21/100*'52'!$U$31+'53'!U21/100*'53'!$U$31+'54'!U21/100*'54'!$U$31+'55'!U21/100*'55'!$U$31+'56'!U21/100*'56'!$U$31+'57'!U21/100*'57'!$U$31</f>
        <v>1601446.1232444446</v>
      </c>
      <c r="I36" s="96">
        <f>+'49'!V21/100*'49'!$V$31+'50'!V21/100*'50'!$V$31+'51'!V21/100*'51'!$V$31+'52'!V21/100*'52'!$V$31+'53'!V21/100*'53'!$V$31+'54'!V21/100*'54'!$V$31+'55'!V21/100*'55'!$V$31+'56'!V21/100*'56'!$V$31+'57'!V21/100*'57'!$V$31</f>
        <v>0</v>
      </c>
      <c r="J36" s="96">
        <f>+'49'!X21/100*'49'!$X$31+'50'!X21/100*'50'!$X$31+'51'!X21/100*'51'!$X$31+'52'!X21/100*'52'!$X$31+'53'!X21/100*'53'!$X$31+'54'!X21/100*'54'!$X$31+'55'!X21/100*'55'!$X$31+'56'!X21/100*'56'!$X$31+'57'!X21/100*'57'!$X$31</f>
        <v>0</v>
      </c>
      <c r="K36" s="107">
        <f t="shared" si="0"/>
        <v>1601446.1232444446</v>
      </c>
    </row>
    <row r="37" spans="1:11" x14ac:dyDescent="0.25">
      <c r="A37" s="70"/>
      <c r="D37" s="96"/>
      <c r="E37" s="96"/>
      <c r="F37" s="96"/>
      <c r="G37" s="66"/>
      <c r="H37" s="10"/>
      <c r="I37" s="10"/>
      <c r="J37" s="10"/>
      <c r="K37" s="107"/>
    </row>
    <row r="38" spans="1:11" x14ac:dyDescent="0.25">
      <c r="A38" s="70" t="s">
        <v>42</v>
      </c>
      <c r="B38" s="94">
        <f>+'46'!S22+'47'!S22+'48'!S22</f>
        <v>0</v>
      </c>
      <c r="C38" s="96">
        <f>+'46'!U22/100*'46'!$U$31+'47'!U22/100*'47'!$U$31+'48'!U22/100*'48'!$U$31</f>
        <v>2387505.9231199999</v>
      </c>
      <c r="D38" s="96">
        <f>+'46'!V22/100*'46'!$V$31+'47'!V22/100*'47'!$V$31+'48'!V22/100*'48'!$V$31</f>
        <v>0</v>
      </c>
      <c r="E38" s="96">
        <f>+'46'!X22/100*'46'!$X$31+'47'!X22/100*'47'!$X$31+'48'!X22/100*'48'!$X$31</f>
        <v>0</v>
      </c>
      <c r="F38" s="96">
        <f>SUM(B38:E38)</f>
        <v>2387505.9231199999</v>
      </c>
      <c r="G38" s="94">
        <f>+'49'!S22+'50'!S22+'51'!S22+'52'!S22+'53'!S22+'54'!S22+'55'!S22+'56'!S22+'57'!S22</f>
        <v>0</v>
      </c>
      <c r="H38" s="96">
        <f>+'49'!U22/100*'49'!$U$31+'50'!U22/100*'50'!$U$31+'51'!U22/100*'51'!$U$31+'52'!U22/100*'52'!$U$31+'53'!U22/100*'53'!$U$31+'54'!U22/100*'54'!$U$31+'55'!U22/100*'55'!$U$31+'56'!U22/100*'56'!$U$31+'57'!U22/100*'57'!$U$31</f>
        <v>687070.2580686541</v>
      </c>
      <c r="I38" s="96">
        <f>+'49'!V22/100*'49'!$V$31+'50'!V22/100*'50'!$V$31+'51'!V22/100*'51'!$V$31+'52'!V22/100*'52'!$V$31+'53'!V22/100*'53'!$V$31+'54'!V22/100*'54'!$V$31+'55'!V22/100*'55'!$V$31+'56'!V22/100*'56'!$V$31+'57'!V22/100*'57'!$V$31</f>
        <v>0</v>
      </c>
      <c r="J38" s="96">
        <f>+'49'!X22/100*'49'!$X$31+'50'!X22/100*'50'!$X$31+'51'!X22/100*'51'!$X$31+'52'!X22/100*'52'!$X$31+'53'!X22/100*'53'!$X$31+'54'!X22/100*'54'!$X$31+'55'!X22/100*'55'!$X$31+'56'!X22/100*'56'!$X$31+'57'!X22/100*'57'!$X$31</f>
        <v>0</v>
      </c>
      <c r="K38" s="107">
        <f t="shared" si="0"/>
        <v>687070.2580686541</v>
      </c>
    </row>
    <row r="39" spans="1:11" x14ac:dyDescent="0.25">
      <c r="A39" s="70"/>
      <c r="G39" s="66"/>
      <c r="H39" s="10"/>
      <c r="I39" s="10"/>
      <c r="J39" s="10"/>
      <c r="K39" s="107"/>
    </row>
    <row r="40" spans="1:11" x14ac:dyDescent="0.25">
      <c r="A40" s="70" t="s">
        <v>43</v>
      </c>
      <c r="B40" s="94">
        <f>+'46'!S23+'47'!S23+'48'!S23</f>
        <v>0</v>
      </c>
      <c r="C40" s="96">
        <f>+'46'!U23/100*'46'!$U$31+'47'!U23/100*'47'!$U$31+'48'!U23/100*'48'!$U$31</f>
        <v>1253567.3260000001</v>
      </c>
      <c r="D40" s="96">
        <f>+'46'!V23/100*'46'!$V$31+'47'!V23/100*'47'!$V$31+'48'!V23/100*'48'!$V$31</f>
        <v>0</v>
      </c>
      <c r="E40" s="96">
        <f>+'46'!X23/100*'46'!$X$31+'47'!X23/100*'47'!$X$31+'48'!X23/100*'48'!$X$31</f>
        <v>0</v>
      </c>
      <c r="F40" s="96">
        <f>SUM(B40:E40)</f>
        <v>1253567.3260000001</v>
      </c>
      <c r="G40" s="94">
        <f>+'49'!S23+'50'!S23+'51'!S23+'52'!S23+'53'!S23+'54'!S23+'55'!S23+'56'!S23+'57'!S23</f>
        <v>0</v>
      </c>
      <c r="H40" s="96">
        <f>+'49'!U23/100*'49'!$U$31+'50'!U23/100*'50'!$U$31+'51'!U23/100*'51'!$U$31+'52'!U23/100*'52'!$U$31+'53'!U23/100*'53'!$U$31+'54'!U23/100*'54'!$U$31+'55'!U23/100*'55'!$U$31+'56'!U23/100*'56'!$U$31+'57'!U23/100*'57'!$U$31</f>
        <v>1442573.0787107497</v>
      </c>
      <c r="I40" s="96">
        <f>+'49'!V23/100*'49'!$V$31+'50'!V23/100*'50'!$V$31+'51'!V23/100*'51'!$V$31+'52'!V23/100*'52'!$V$31+'53'!V23/100*'53'!$V$31+'54'!V23/100*'54'!$V$31+'55'!V23/100*'55'!$V$31+'56'!V23/100*'56'!$V$31+'57'!V23/100*'57'!$V$31</f>
        <v>0</v>
      </c>
      <c r="J40" s="96">
        <f>+'49'!X23/100*'49'!$X$31+'50'!X23/100*'50'!$X$31+'51'!X23/100*'51'!$X$31+'52'!X23/100*'52'!$X$31+'53'!X23/100*'53'!$X$31+'54'!X23/100*'54'!$X$31+'55'!X23/100*'55'!$X$31+'56'!X23/100*'56'!$X$31+'57'!X23/100*'57'!$X$31</f>
        <v>0</v>
      </c>
      <c r="K40" s="107">
        <f t="shared" si="0"/>
        <v>1442573.0787107497</v>
      </c>
    </row>
    <row r="41" spans="1:11" x14ac:dyDescent="0.25">
      <c r="A41" s="70"/>
      <c r="G41" s="66"/>
      <c r="H41" s="10"/>
      <c r="I41" s="10"/>
      <c r="J41" s="10"/>
      <c r="K41" s="107"/>
    </row>
    <row r="42" spans="1:11" x14ac:dyDescent="0.25">
      <c r="A42" s="70" t="s">
        <v>44</v>
      </c>
      <c r="B42" s="94">
        <f>+'46'!S24+'47'!S24+'48'!S24</f>
        <v>0</v>
      </c>
      <c r="C42" s="96">
        <f>+'46'!U24/100*'46'!$U$31+'47'!U24/100*'47'!$U$31+'48'!U24/100*'48'!$U$31</f>
        <v>90824.912639999995</v>
      </c>
      <c r="D42" s="96">
        <f>+'46'!V24/100*'46'!$V$31+'47'!V24/100*'47'!$V$31+'48'!V24/100*'48'!$V$31</f>
        <v>0</v>
      </c>
      <c r="E42" s="96">
        <f>+'46'!X24/100*'46'!$X$31+'47'!X24/100*'47'!$X$31+'48'!X24/100*'48'!$X$31</f>
        <v>0</v>
      </c>
      <c r="F42" s="96">
        <f>SUM(B42:E42)</f>
        <v>90824.912639999995</v>
      </c>
      <c r="G42" s="94">
        <f>+'49'!S24+'50'!S24+'51'!S24+'52'!S24+'53'!S24+'54'!S24+'55'!S24+'56'!S24+'57'!S24</f>
        <v>0</v>
      </c>
      <c r="H42" s="96">
        <f>+'49'!U24/100*'49'!$U$31+'50'!U24/100*'50'!$U$31+'51'!U24/100*'51'!$U$31+'52'!U24/100*'52'!$U$31+'53'!U24/100*'53'!$U$31+'54'!U24/100*'54'!$U$31+'55'!U24/100*'55'!$U$31+'56'!U24/100*'56'!$U$31+'57'!U24/100*'57'!$U$31</f>
        <v>13384.426377597096</v>
      </c>
      <c r="I42" s="96">
        <f>+'49'!V24/100*'49'!$V$31+'50'!V24/100*'50'!$V$31+'51'!V24/100*'51'!$V$31+'52'!V24/100*'52'!$V$31+'53'!V24/100*'53'!$V$31+'54'!V24/100*'54'!$V$31+'55'!V24/100*'55'!$V$31+'56'!V24/100*'56'!$V$31+'57'!V24/100*'57'!$V$31</f>
        <v>0</v>
      </c>
      <c r="J42" s="96">
        <f>+'49'!X24/100*'49'!$X$31+'50'!X24/100*'50'!$X$31+'51'!X24/100*'51'!$X$31+'52'!X24/100*'52'!$X$31+'53'!X24/100*'53'!$X$31+'54'!X24/100*'54'!$X$31+'55'!X24/100*'55'!$X$31+'56'!X24/100*'56'!$X$31+'57'!X24/100*'57'!$X$31</f>
        <v>0</v>
      </c>
      <c r="K42" s="107">
        <f t="shared" si="0"/>
        <v>13384.426377597096</v>
      </c>
    </row>
    <row r="43" spans="1:11" x14ac:dyDescent="0.25">
      <c r="A43" s="70"/>
      <c r="G43" s="66"/>
      <c r="H43" s="10"/>
      <c r="I43" s="10"/>
      <c r="J43" s="10"/>
      <c r="K43" s="107"/>
    </row>
    <row r="44" spans="1:11" x14ac:dyDescent="0.25">
      <c r="A44" s="70" t="s">
        <v>45</v>
      </c>
      <c r="B44" s="94">
        <f>+'46'!S25+'47'!S25+'48'!S25</f>
        <v>0</v>
      </c>
      <c r="C44" s="96">
        <f>+'46'!U25/100*'46'!$U$31+'47'!U25/100*'47'!$U$31+'48'!U25/100*'48'!$U$31</f>
        <v>273172.14560000005</v>
      </c>
      <c r="D44" s="96">
        <f>+'46'!V25/100*'46'!$V$31+'47'!V25/100*'47'!$V$31+'48'!V25/100*'48'!$V$31</f>
        <v>0</v>
      </c>
      <c r="E44" s="96">
        <f>+'46'!X25/100*'46'!$X$31+'47'!X25/100*'47'!$X$31+'48'!X25/100*'48'!$X$31</f>
        <v>0</v>
      </c>
      <c r="F44" s="96">
        <f>SUM(B44:E44)</f>
        <v>273172.14560000005</v>
      </c>
      <c r="G44" s="94">
        <f>+'49'!S25+'50'!S25+'51'!S25+'52'!S25+'53'!S25+'54'!S25+'55'!S25+'56'!S25+'57'!S25</f>
        <v>0</v>
      </c>
      <c r="H44" s="96">
        <f>+'49'!U25/100*'49'!$U$31+'50'!U25/100*'50'!$U$31+'51'!U25/100*'51'!$U$31+'52'!U25/100*'52'!$U$31+'53'!U25/100*'53'!$U$31+'54'!U25/100*'54'!$U$31+'55'!U25/100*'55'!$U$31+'56'!U25/100*'56'!$U$31+'57'!U25/100*'57'!$U$31</f>
        <v>38638.360137308046</v>
      </c>
      <c r="I44" s="96">
        <f>+'49'!V25/100*'49'!$V$31+'50'!V25/100*'50'!$V$31+'51'!V25/100*'51'!$V$31+'52'!V25/100*'52'!$V$31+'53'!V25/100*'53'!$V$31+'54'!V25/100*'54'!$V$31+'55'!V25/100*'55'!$V$31+'56'!V25/100*'56'!$V$31+'57'!V25/100*'57'!$V$31</f>
        <v>0</v>
      </c>
      <c r="J44" s="96">
        <f>+'49'!X25/100*'49'!$X$31+'50'!X25/100*'50'!$X$31+'51'!X25/100*'51'!$X$31+'52'!X25/100*'52'!$X$31+'53'!X25/100*'53'!$X$31+'54'!X25/100*'54'!$X$31+'55'!X25/100*'55'!$X$31+'56'!X25/100*'56'!$X$31+'57'!X25/100*'57'!$X$31</f>
        <v>0</v>
      </c>
      <c r="K44" s="107">
        <f t="shared" si="0"/>
        <v>38638.360137308046</v>
      </c>
    </row>
    <row r="45" spans="1:11" x14ac:dyDescent="0.25">
      <c r="A45" s="70"/>
      <c r="C45" s="96"/>
      <c r="G45" s="66"/>
      <c r="H45" s="10"/>
      <c r="I45" s="10"/>
      <c r="J45" s="10"/>
      <c r="K45" s="107"/>
    </row>
    <row r="46" spans="1:11" x14ac:dyDescent="0.25">
      <c r="A46" s="70" t="s">
        <v>46</v>
      </c>
      <c r="B46" s="94">
        <f>+'46'!S26+'47'!S26+'48'!S26</f>
        <v>0</v>
      </c>
      <c r="C46" s="96">
        <f>+'46'!U26/100*'46'!$U$31+'47'!U26/100*'47'!$U$31+'48'!U26/100*'48'!$U$31</f>
        <v>0</v>
      </c>
      <c r="D46" s="96">
        <f>+'46'!V26/100*'46'!$V$31+'47'!V26/100*'47'!$V$31+'48'!V26/100*'48'!$V$31</f>
        <v>0</v>
      </c>
      <c r="E46" s="96">
        <f>+'46'!X26/100*'46'!$X$31+'47'!X26/100*'47'!$X$31+'48'!X26/100*'48'!$X$31</f>
        <v>0</v>
      </c>
      <c r="F46" s="96">
        <f>SUM(B46:E46)</f>
        <v>0</v>
      </c>
      <c r="G46" s="94">
        <f>+'49'!S26+'50'!S26+'51'!S26+'52'!S26+'53'!S26+'54'!S26+'55'!S26+'56'!S26+'57'!S26</f>
        <v>0</v>
      </c>
      <c r="H46" s="96">
        <f>+'49'!U26/100*'49'!$U$31+'50'!U26/100*'50'!$U$31+'51'!U26/100*'51'!$U$31+'52'!U26/100*'52'!$U$31+'53'!U26/100*'53'!$U$31+'54'!U26/100*'54'!$U$31+'55'!U26/100*'55'!$U$31+'56'!U26/100*'56'!$U$31+'57'!U26/100*'57'!$U$31</f>
        <v>31079.24</v>
      </c>
      <c r="I46" s="96">
        <f>+'49'!V26/100*'49'!$V$31+'50'!V26/100*'50'!$V$31+'51'!V26/100*'51'!$V$31+'52'!V26/100*'52'!$V$31+'53'!V26/100*'53'!$V$31+'54'!V26/100*'54'!$V$31+'55'!V26/100*'55'!$V$31+'56'!V26/100*'56'!$V$31+'57'!V26/100*'57'!$V$31</f>
        <v>0</v>
      </c>
      <c r="J46" s="96">
        <f>+'49'!X26/100*'49'!$X$31+'50'!X26/100*'50'!$X$31+'51'!X26/100*'51'!$X$31+'52'!X26/100*'52'!$X$31+'53'!X26/100*'53'!$X$31+'54'!X26/100*'54'!$X$31+'55'!X26/100*'55'!$X$31+'56'!X26/100*'56'!$X$31+'57'!X26/100*'57'!$X$31</f>
        <v>0</v>
      </c>
      <c r="K46" s="107">
        <f t="shared" si="0"/>
        <v>31079.24</v>
      </c>
    </row>
    <row r="47" spans="1:11" x14ac:dyDescent="0.25">
      <c r="A47" s="70"/>
      <c r="C47" s="96"/>
      <c r="G47" s="66"/>
      <c r="H47" s="10"/>
      <c r="I47" s="10"/>
      <c r="J47" s="10"/>
      <c r="K47" s="107"/>
    </row>
    <row r="48" spans="1:11" x14ac:dyDescent="0.25">
      <c r="A48" s="70" t="s">
        <v>47</v>
      </c>
      <c r="B48" s="94">
        <f>+'46'!S27+'47'!S27+'48'!S27</f>
        <v>0</v>
      </c>
      <c r="C48" s="96">
        <f>+'46'!U27/100*'46'!$U$31+'47'!U27/100*'47'!$U$31+'48'!U27/100*'48'!$U$31</f>
        <v>465801.87776</v>
      </c>
      <c r="D48" s="96">
        <f>+'46'!V27/100*'46'!$V$31+'47'!V27/100*'47'!$V$31+'48'!V27/100*'48'!$V$31</f>
        <v>0</v>
      </c>
      <c r="E48" s="96">
        <f>+'46'!X27/100*'46'!$X$31+'47'!X27/100*'47'!$X$31+'48'!X27/100*'48'!$X$31</f>
        <v>0</v>
      </c>
      <c r="F48" s="96">
        <f>SUM(B48:E48)</f>
        <v>465801.87776</v>
      </c>
      <c r="G48" s="94">
        <f>+'49'!S27+'50'!S27+'51'!S27+'52'!S27+'53'!S27+'54'!S27+'55'!S27+'56'!S27+'57'!S27</f>
        <v>0</v>
      </c>
      <c r="H48" s="96">
        <f>+'49'!U27/100*'49'!$U$31+'50'!U27/100*'50'!$U$31+'51'!U27/100*'51'!$U$31+'52'!U27/100*'52'!$U$31+'53'!U27/100*'53'!$U$31+'54'!U27/100*'54'!$U$31+'55'!U27/100*'55'!$U$31+'56'!U27/100*'56'!$U$31+'57'!U27/100*'57'!$U$31</f>
        <v>350931.02130984643</v>
      </c>
      <c r="I48" s="96">
        <f>+'49'!V27/100*'49'!$V$31+'50'!V27/100*'50'!$V$31+'51'!V27/100*'51'!$V$31+'52'!V27/100*'52'!$V$31+'53'!V27/100*'53'!$V$31+'54'!V27/100*'54'!$V$31+'55'!V27/100*'55'!$V$31+'56'!V27/100*'56'!$V$31+'57'!V27/100*'57'!$V$31</f>
        <v>0</v>
      </c>
      <c r="J48" s="96">
        <f>+'49'!X27/100*'49'!$X$31+'50'!X27/100*'50'!$X$31+'51'!X27/100*'51'!$X$31+'52'!X27/100*'52'!$X$31+'53'!X27/100*'53'!$X$31+'54'!X27/100*'54'!$X$31+'55'!X27/100*'55'!$X$31+'56'!X27/100*'56'!$X$31+'57'!X27/100*'57'!$X$31</f>
        <v>0</v>
      </c>
      <c r="K48" s="107">
        <f t="shared" si="0"/>
        <v>350931.02130984643</v>
      </c>
    </row>
    <row r="49" spans="1:11" x14ac:dyDescent="0.25">
      <c r="A49" s="70"/>
      <c r="C49" s="96"/>
      <c r="D49" s="96"/>
      <c r="E49" s="96"/>
      <c r="F49" s="96"/>
      <c r="G49" s="66"/>
      <c r="H49" s="10"/>
      <c r="I49" s="10"/>
      <c r="J49" s="10"/>
      <c r="K49" s="107"/>
    </row>
    <row r="50" spans="1:11" x14ac:dyDescent="0.25">
      <c r="A50" s="70" t="s">
        <v>48</v>
      </c>
      <c r="B50" s="94">
        <f>+'46'!S28+'47'!S28+'48'!S28</f>
        <v>0</v>
      </c>
      <c r="C50" s="96">
        <f>+'46'!U28/100*'46'!$U$31+'47'!U28/100*'47'!$U$31+'48'!U28/100*'48'!$U$31</f>
        <v>627778.04431999999</v>
      </c>
      <c r="D50" s="96">
        <f>+'46'!V28/100*'46'!$V$31+'47'!V28/100*'47'!$V$31+'48'!V28/100*'48'!$V$31</f>
        <v>0</v>
      </c>
      <c r="E50" s="96">
        <f>+'46'!X28/100*'46'!$X$31+'47'!X28/100*'47'!$X$31+'48'!X28/100*'48'!$X$31</f>
        <v>0</v>
      </c>
      <c r="F50" s="96">
        <f>SUM(B50:E50)</f>
        <v>627778.04431999999</v>
      </c>
      <c r="G50" s="94">
        <f>+'49'!S28+'50'!S28+'51'!S28+'52'!S28+'53'!S28+'54'!S28+'55'!S28+'56'!S28+'57'!S28</f>
        <v>0</v>
      </c>
      <c r="H50" s="96">
        <f>+'49'!U28/100*'49'!$U$31+'50'!U28/100*'50'!$U$31+'51'!U28/100*'51'!$U$31+'52'!U28/100*'52'!$U$31+'53'!U28/100*'53'!$U$31+'54'!U28/100*'54'!$U$31+'55'!U28/100*'55'!$U$31+'56'!U28/100*'56'!$U$31+'57'!U28/100*'57'!$U$31</f>
        <v>3181639.6373157185</v>
      </c>
      <c r="I50" s="96">
        <f>+'49'!V28/100*'49'!$V$31+'50'!V28/100*'50'!$V$31+'51'!V28/100*'51'!$V$31+'52'!V28/100*'52'!$V$31+'53'!V28/100*'53'!$V$31+'54'!V28/100*'54'!$V$31+'55'!V28/100*'55'!$V$31+'56'!V28/100*'56'!$V$31+'57'!V28/100*'57'!$V$31</f>
        <v>0</v>
      </c>
      <c r="J50" s="96">
        <f>+'49'!X28/100*'49'!$X$31+'50'!X28/100*'50'!$X$31+'51'!X28/100*'51'!$X$31+'52'!X28/100*'52'!$X$31+'53'!X28/100*'53'!$X$31+'54'!X28/100*'54'!$X$31+'55'!X28/100*'55'!$X$31+'56'!X28/100*'56'!$X$31+'57'!X28/100*'57'!$X$31</f>
        <v>0</v>
      </c>
      <c r="K50" s="107">
        <f t="shared" si="0"/>
        <v>3181639.6373157185</v>
      </c>
    </row>
    <row r="51" spans="1:11" x14ac:dyDescent="0.25">
      <c r="A51" s="70"/>
      <c r="C51" s="96"/>
      <c r="G51" s="66"/>
      <c r="H51" s="10"/>
      <c r="I51" s="10"/>
      <c r="J51" s="10"/>
      <c r="K51" s="107"/>
    </row>
    <row r="52" spans="1:11" x14ac:dyDescent="0.25">
      <c r="A52" s="52" t="s">
        <v>49</v>
      </c>
      <c r="B52" s="94">
        <f>+'46'!S29+'47'!S29+'48'!S29</f>
        <v>0</v>
      </c>
      <c r="C52" s="96">
        <f>+'46'!U29/100*'46'!$U$31+'47'!U29/100*'47'!$U$31+'48'!U29/100*'48'!$U$31</f>
        <v>48315.06048</v>
      </c>
      <c r="D52" s="96">
        <f>+'46'!V29/100*'46'!$V$31+'47'!V29/100*'47'!$V$31+'48'!V29/100*'48'!$V$31</f>
        <v>0</v>
      </c>
      <c r="E52" s="96">
        <f>+'46'!X29/100*'46'!$X$31+'47'!X29/100*'47'!$X$31+'48'!X29/100*'48'!$X$31</f>
        <v>0</v>
      </c>
      <c r="F52" s="96">
        <f>SUM(B52:E52)</f>
        <v>48315.06048</v>
      </c>
      <c r="G52" s="95">
        <f>+'49'!S29+'50'!S29+'51'!S29+'52'!S29+'53'!S29+'54'!S29+'55'!S29+'56'!S29+'57'!S29</f>
        <v>0</v>
      </c>
      <c r="H52" s="102">
        <f>+'49'!U29/100*'49'!$U$31+'50'!U29/100*'50'!$U$31+'51'!U29/100*'51'!$U$31+'52'!U29/100*'52'!$U$31+'53'!U29/100*'53'!$U$31+'54'!U29/100*'54'!$U$31+'55'!U29/100*'55'!$U$31+'56'!U29/100*'56'!$U$31+'57'!U29/100*'57'!$U$31</f>
        <v>175932.77249999999</v>
      </c>
      <c r="I52" s="102">
        <f>+'49'!V29/100*'49'!$V$31+'50'!V29/100*'50'!$V$31+'51'!V29/100*'51'!$V$31+'52'!V29/100*'52'!$V$31+'53'!V29/100*'53'!$V$31+'54'!V29/100*'54'!$V$31+'55'!V29/100*'55'!$V$31+'56'!V29/100*'56'!$V$31+'57'!V29/100*'57'!$V$31</f>
        <v>0</v>
      </c>
      <c r="J52" s="102">
        <f>+'49'!X29/100*'49'!$X$31+'50'!X29/100*'50'!$X$31+'51'!X29/100*'51'!$X$31+'52'!X29/100*'52'!$X$31+'53'!X29/100*'53'!$X$31+'54'!X29/100*'54'!$X$31+'55'!X29/100*'55'!$X$31+'56'!X29/100*'56'!$X$31+'57'!X29/100*'57'!$X$31</f>
        <v>0</v>
      </c>
      <c r="K52" s="109">
        <f t="shared" si="0"/>
        <v>175932.77249999999</v>
      </c>
    </row>
    <row r="53" spans="1:11" x14ac:dyDescent="0.25">
      <c r="A53" s="69"/>
      <c r="B53" s="68"/>
      <c r="C53" s="57"/>
      <c r="D53" s="57"/>
      <c r="E53" s="57"/>
      <c r="F53" s="58"/>
      <c r="G53" s="68"/>
      <c r="H53" s="57"/>
      <c r="I53" s="57"/>
      <c r="J53" s="57"/>
      <c r="K53" s="58"/>
    </row>
    <row r="54" spans="1:11" x14ac:dyDescent="0.25">
      <c r="A54" s="70" t="s">
        <v>70</v>
      </c>
      <c r="B54" s="66">
        <f>SUM(B6:B52)</f>
        <v>13750528</v>
      </c>
      <c r="C54" s="10">
        <f>SUM(C6:C52)</f>
        <v>12348486</v>
      </c>
      <c r="D54" s="10">
        <f>SUM(D6:D52)</f>
        <v>7897619.0000000009</v>
      </c>
      <c r="E54" s="10">
        <f>SUM(E6:E52)</f>
        <v>0</v>
      </c>
      <c r="F54" s="74">
        <f>SUM(B54:E54)</f>
        <v>33996633</v>
      </c>
      <c r="G54" s="66">
        <f>SUM(G6:G52)</f>
        <v>12226965</v>
      </c>
      <c r="H54" s="10">
        <f>SUM(H6:H52)</f>
        <v>11505060.000000002</v>
      </c>
      <c r="I54" s="10">
        <f>SUM(I6:I52)</f>
        <v>10124912</v>
      </c>
      <c r="J54" s="10">
        <f>SUM(J6:J52)</f>
        <v>0</v>
      </c>
      <c r="K54" s="74">
        <f>SUM(G54:J54)</f>
        <v>33856937</v>
      </c>
    </row>
    <row r="55" spans="1:11" x14ac:dyDescent="0.25">
      <c r="A55" s="52"/>
      <c r="B55" s="11"/>
      <c r="C55" s="12"/>
      <c r="D55" s="12"/>
      <c r="E55" s="12"/>
      <c r="F55" s="53"/>
      <c r="G55" s="11"/>
      <c r="H55" s="12"/>
      <c r="I55" s="12"/>
      <c r="J55" s="12"/>
      <c r="K55" s="53"/>
    </row>
  </sheetData>
  <mergeCells count="8">
    <mergeCell ref="B4:F4"/>
    <mergeCell ref="G4:K4"/>
    <mergeCell ref="B1:F1"/>
    <mergeCell ref="G1:K1"/>
    <mergeCell ref="B2:F2"/>
    <mergeCell ref="G2:K2"/>
    <mergeCell ref="B3:F3"/>
    <mergeCell ref="G3:K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2:Z38"/>
  <sheetViews>
    <sheetView workbookViewId="0">
      <selection activeCell="D39" sqref="D39"/>
    </sheetView>
  </sheetViews>
  <sheetFormatPr defaultRowHeight="15" x14ac:dyDescent="0.25"/>
  <cols>
    <col min="1" max="1" width="7.28515625" customWidth="1"/>
    <col min="11" max="11" width="9.5703125" bestFit="1" customWidth="1"/>
    <col min="21" max="21" width="9.5703125" bestFit="1" customWidth="1"/>
    <col min="25" max="25" width="10.5703125" bestFit="1" customWidth="1"/>
  </cols>
  <sheetData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45" x14ac:dyDescent="0.25">
      <c r="A4" s="309" t="s">
        <v>262</v>
      </c>
      <c r="B4" s="306"/>
      <c r="C4" s="306" t="s">
        <v>2</v>
      </c>
      <c r="D4" s="91" t="s">
        <v>3</v>
      </c>
      <c r="E4" s="91" t="s">
        <v>79</v>
      </c>
      <c r="F4" s="91" t="s">
        <v>102</v>
      </c>
      <c r="G4" s="91" t="s">
        <v>6</v>
      </c>
      <c r="H4" s="91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306" t="s">
        <v>15</v>
      </c>
      <c r="Q4" s="306" t="s">
        <v>16</v>
      </c>
      <c r="R4" s="306" t="s">
        <v>17</v>
      </c>
      <c r="S4" s="353" t="s">
        <v>18</v>
      </c>
      <c r="T4" s="353"/>
      <c r="U4" s="306" t="s">
        <v>19</v>
      </c>
      <c r="V4" s="306" t="s">
        <v>20</v>
      </c>
      <c r="W4" s="267" t="s">
        <v>21</v>
      </c>
      <c r="X4" s="267" t="s">
        <v>22</v>
      </c>
      <c r="Y4" s="354" t="s">
        <v>23</v>
      </c>
      <c r="Z4" s="354"/>
    </row>
    <row r="5" spans="1:26" x14ac:dyDescent="0.25">
      <c r="A5" s="10">
        <v>1</v>
      </c>
      <c r="B5" s="10" t="s">
        <v>259</v>
      </c>
      <c r="C5" s="10">
        <f>+'1'!C31</f>
        <v>136620</v>
      </c>
      <c r="D5" s="10">
        <f>+'1'!D31</f>
        <v>32719</v>
      </c>
      <c r="E5" s="10">
        <f>+'1'!E31</f>
        <v>489764</v>
      </c>
      <c r="F5" s="10">
        <f>+'1'!F31</f>
        <v>4682879.7625000002</v>
      </c>
      <c r="G5" s="10">
        <f>+'1'!G31</f>
        <v>9154207.237499997</v>
      </c>
      <c r="H5" s="10">
        <f>+'1'!H31</f>
        <v>16013</v>
      </c>
      <c r="I5" s="10">
        <f>+'1'!I31</f>
        <v>0</v>
      </c>
      <c r="J5" s="10">
        <f>+'1'!J31</f>
        <v>7310</v>
      </c>
      <c r="K5" s="10">
        <f>+'1'!K31</f>
        <v>530864</v>
      </c>
      <c r="L5" s="10">
        <f>+'1'!L31</f>
        <v>0</v>
      </c>
      <c r="M5" s="10">
        <f>+'1'!M31</f>
        <v>1927665</v>
      </c>
      <c r="N5" s="10">
        <f>+'1'!N31</f>
        <v>26880</v>
      </c>
      <c r="O5" s="10">
        <f>+'1'!O31</f>
        <v>158463</v>
      </c>
      <c r="P5" s="10">
        <f>+'1'!P31</f>
        <v>118813</v>
      </c>
      <c r="Q5" s="10">
        <f>+'1'!Q31</f>
        <v>182091</v>
      </c>
      <c r="R5" s="10">
        <f>+'1'!R31</f>
        <v>0</v>
      </c>
      <c r="S5" s="10">
        <f>+'1'!S31</f>
        <v>17464288.999999996</v>
      </c>
      <c r="T5" s="10"/>
      <c r="U5" s="10">
        <f>+'1'!U31</f>
        <v>5452827</v>
      </c>
      <c r="V5" s="10">
        <f>+'1'!V31</f>
        <v>0</v>
      </c>
      <c r="W5" s="10">
        <f>+'1'!W31</f>
        <v>0</v>
      </c>
      <c r="X5" s="10">
        <f>+'1'!X31</f>
        <v>384300</v>
      </c>
      <c r="Y5" s="10">
        <f>+'1'!Y31</f>
        <v>23301415.999999996</v>
      </c>
      <c r="Z5" s="10"/>
    </row>
    <row r="6" spans="1:26" x14ac:dyDescent="0.25">
      <c r="A6" s="10">
        <v>2</v>
      </c>
      <c r="B6" s="10" t="s">
        <v>260</v>
      </c>
      <c r="C6" s="10">
        <f>+'2'!C31</f>
        <v>0</v>
      </c>
      <c r="D6" s="10">
        <f>+'2'!D31</f>
        <v>0</v>
      </c>
      <c r="E6" s="10">
        <f>+'2'!E31</f>
        <v>0</v>
      </c>
      <c r="F6" s="10">
        <f>+'2'!F31</f>
        <v>95000</v>
      </c>
      <c r="G6" s="10">
        <f>+'2'!G31</f>
        <v>29000</v>
      </c>
      <c r="H6" s="10">
        <f>+'2'!H31</f>
        <v>325000</v>
      </c>
      <c r="I6" s="10">
        <f>+'2'!I31</f>
        <v>0</v>
      </c>
      <c r="J6" s="10">
        <f>+'2'!J31</f>
        <v>1539000</v>
      </c>
      <c r="K6" s="10">
        <f>+'2'!K31</f>
        <v>644000</v>
      </c>
      <c r="L6" s="10">
        <f>+'2'!L31</f>
        <v>0</v>
      </c>
      <c r="M6" s="10">
        <f>+'2'!M31</f>
        <v>0</v>
      </c>
      <c r="N6" s="10">
        <f>+'2'!N31</f>
        <v>0</v>
      </c>
      <c r="O6" s="10">
        <f>+'2'!O31</f>
        <v>19000</v>
      </c>
      <c r="P6" s="10">
        <f>+'2'!P31</f>
        <v>0</v>
      </c>
      <c r="Q6" s="10">
        <f>+'2'!Q31</f>
        <v>0</v>
      </c>
      <c r="R6" s="10">
        <f>+'2'!R31</f>
        <v>0</v>
      </c>
      <c r="S6" s="10">
        <f>+'2'!S31</f>
        <v>2651000</v>
      </c>
      <c r="T6" s="10"/>
      <c r="U6" s="10">
        <f>+'2'!U31</f>
        <v>798000</v>
      </c>
      <c r="V6" s="10">
        <f>+'2'!V31</f>
        <v>1585000</v>
      </c>
      <c r="W6" s="10">
        <f>+'2'!W31</f>
        <v>0</v>
      </c>
      <c r="X6" s="10">
        <f>+'2'!X31</f>
        <v>0</v>
      </c>
      <c r="Y6" s="10">
        <f>+'2'!Y31</f>
        <v>5034000</v>
      </c>
      <c r="Z6" s="10"/>
    </row>
    <row r="7" spans="1:26" x14ac:dyDescent="0.25">
      <c r="A7" s="10">
        <v>3</v>
      </c>
      <c r="B7" s="10" t="s">
        <v>261</v>
      </c>
      <c r="C7" s="10">
        <f>+'3'!C31</f>
        <v>0</v>
      </c>
      <c r="D7" s="10">
        <f>+'3'!D31</f>
        <v>0</v>
      </c>
      <c r="E7" s="10">
        <f>+'3'!E31</f>
        <v>0</v>
      </c>
      <c r="F7" s="10">
        <f>+'3'!F31</f>
        <v>108174</v>
      </c>
      <c r="G7" s="10">
        <f>+'3'!G31</f>
        <v>2284792</v>
      </c>
      <c r="H7" s="10">
        <f>+'3'!H31</f>
        <v>0</v>
      </c>
      <c r="I7" s="10">
        <f>+'3'!I31</f>
        <v>0</v>
      </c>
      <c r="J7" s="10">
        <f>+'3'!J31</f>
        <v>0</v>
      </c>
      <c r="K7" s="10">
        <f>+'3'!K31</f>
        <v>0</v>
      </c>
      <c r="L7" s="10">
        <f>+'3'!L31</f>
        <v>0</v>
      </c>
      <c r="M7" s="10">
        <f>+'3'!M31</f>
        <v>0</v>
      </c>
      <c r="N7" s="10">
        <f>+'3'!N31</f>
        <v>0</v>
      </c>
      <c r="O7" s="10">
        <f>+'3'!O31</f>
        <v>0</v>
      </c>
      <c r="P7" s="10">
        <f>+'3'!P31</f>
        <v>0</v>
      </c>
      <c r="Q7" s="10">
        <f>+'3'!Q31</f>
        <v>0</v>
      </c>
      <c r="R7" s="10">
        <f>+'3'!R31</f>
        <v>0</v>
      </c>
      <c r="S7" s="10">
        <f>+'3'!S31</f>
        <v>2392966</v>
      </c>
      <c r="T7" s="10"/>
      <c r="U7" s="10">
        <f>+'3'!U31</f>
        <v>111642</v>
      </c>
      <c r="V7" s="10">
        <f>+'3'!V31</f>
        <v>0</v>
      </c>
      <c r="W7" s="10">
        <f>+'3'!W31</f>
        <v>0</v>
      </c>
      <c r="X7" s="10">
        <f>+'3'!X31</f>
        <v>0</v>
      </c>
      <c r="Y7" s="10">
        <f>+'3'!Y31</f>
        <v>2504608</v>
      </c>
      <c r="Z7" s="10"/>
    </row>
    <row r="8" spans="1:26" x14ac:dyDescent="0.25">
      <c r="A8" s="10"/>
      <c r="B8" s="10" t="s">
        <v>263</v>
      </c>
      <c r="C8" s="10">
        <f>SUM(C5:C7)</f>
        <v>136620</v>
      </c>
      <c r="D8" s="10">
        <f t="shared" ref="D8:Y8" si="0">SUM(D5:D7)</f>
        <v>32719</v>
      </c>
      <c r="E8" s="10">
        <f t="shared" si="0"/>
        <v>489764</v>
      </c>
      <c r="F8" s="10">
        <f t="shared" si="0"/>
        <v>4886053.7625000002</v>
      </c>
      <c r="G8" s="10">
        <f t="shared" si="0"/>
        <v>11467999.237499997</v>
      </c>
      <c r="H8" s="10">
        <f t="shared" si="0"/>
        <v>341013</v>
      </c>
      <c r="I8" s="10">
        <f t="shared" si="0"/>
        <v>0</v>
      </c>
      <c r="J8" s="10">
        <f t="shared" si="0"/>
        <v>1546310</v>
      </c>
      <c r="K8" s="10">
        <f t="shared" si="0"/>
        <v>1174864</v>
      </c>
      <c r="L8" s="10">
        <f t="shared" si="0"/>
        <v>0</v>
      </c>
      <c r="M8" s="10">
        <f t="shared" si="0"/>
        <v>1927665</v>
      </c>
      <c r="N8" s="10">
        <f t="shared" si="0"/>
        <v>26880</v>
      </c>
      <c r="O8" s="10">
        <f t="shared" si="0"/>
        <v>177463</v>
      </c>
      <c r="P8" s="10">
        <f t="shared" si="0"/>
        <v>118813</v>
      </c>
      <c r="Q8" s="10">
        <f t="shared" si="0"/>
        <v>182091</v>
      </c>
      <c r="R8" s="10">
        <f t="shared" si="0"/>
        <v>0</v>
      </c>
      <c r="S8" s="10">
        <f t="shared" si="0"/>
        <v>22508254.999999996</v>
      </c>
      <c r="T8" s="10"/>
      <c r="U8" s="10">
        <f t="shared" si="0"/>
        <v>6362469</v>
      </c>
      <c r="V8" s="10">
        <f t="shared" si="0"/>
        <v>1585000</v>
      </c>
      <c r="W8" s="10">
        <f t="shared" si="0"/>
        <v>0</v>
      </c>
      <c r="X8" s="10">
        <f t="shared" si="0"/>
        <v>384300</v>
      </c>
      <c r="Y8" s="10">
        <f t="shared" si="0"/>
        <v>30840023.999999996</v>
      </c>
      <c r="Z8" s="10"/>
    </row>
    <row r="9" spans="1:26" x14ac:dyDescent="0.25">
      <c r="A9" s="10"/>
      <c r="B9" s="10" t="s">
        <v>264</v>
      </c>
      <c r="C9" s="10">
        <v>136620</v>
      </c>
      <c r="D9" s="10">
        <v>32719</v>
      </c>
      <c r="E9" s="10">
        <v>489764</v>
      </c>
      <c r="F9" s="10">
        <v>14136819</v>
      </c>
      <c r="G9" s="10">
        <v>2217234</v>
      </c>
      <c r="H9" s="10">
        <v>341013</v>
      </c>
      <c r="I9" s="10">
        <v>0</v>
      </c>
      <c r="J9" s="10">
        <v>1546310</v>
      </c>
      <c r="K9" s="10">
        <v>1174864</v>
      </c>
      <c r="L9" s="10">
        <v>0</v>
      </c>
      <c r="M9" s="10">
        <v>1927665</v>
      </c>
      <c r="N9" s="10">
        <v>26880</v>
      </c>
      <c r="O9" s="10">
        <v>177463</v>
      </c>
      <c r="P9" s="10">
        <v>118813</v>
      </c>
      <c r="Q9" s="10">
        <v>182091</v>
      </c>
      <c r="R9" s="10">
        <v>0</v>
      </c>
      <c r="S9" s="10"/>
      <c r="T9" s="10"/>
      <c r="U9" s="10">
        <v>6362469</v>
      </c>
      <c r="V9" s="10">
        <v>1585000</v>
      </c>
      <c r="W9" s="10">
        <v>0</v>
      </c>
      <c r="X9" s="10">
        <v>384300</v>
      </c>
      <c r="Y9" s="10">
        <v>30840024</v>
      </c>
      <c r="Z9" s="10"/>
    </row>
    <row r="10" spans="1:26" x14ac:dyDescent="0.25">
      <c r="A10" s="10"/>
      <c r="B10" s="10"/>
      <c r="C10" s="10"/>
      <c r="D10" s="10"/>
      <c r="E10" s="10"/>
      <c r="F10" s="10">
        <f>+F8+G8</f>
        <v>16354052.999999996</v>
      </c>
      <c r="G10" s="10">
        <f>+F9+G9</f>
        <v>16354053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45" x14ac:dyDescent="0.25">
      <c r="A13" s="10">
        <v>100050</v>
      </c>
      <c r="B13" s="10"/>
      <c r="C13" s="306" t="s">
        <v>2</v>
      </c>
      <c r="D13" s="91" t="s">
        <v>3</v>
      </c>
      <c r="E13" s="91" t="s">
        <v>79</v>
      </c>
      <c r="F13" s="91" t="s">
        <v>102</v>
      </c>
      <c r="G13" s="91" t="s">
        <v>6</v>
      </c>
      <c r="H13" s="91" t="s">
        <v>7</v>
      </c>
      <c r="I13" s="5" t="s">
        <v>101</v>
      </c>
      <c r="J13" s="5" t="s">
        <v>9</v>
      </c>
      <c r="K13" s="5" t="s">
        <v>10</v>
      </c>
      <c r="L13" s="5" t="s">
        <v>11</v>
      </c>
      <c r="M13" s="5" t="s">
        <v>12</v>
      </c>
      <c r="N13" s="5" t="s">
        <v>13</v>
      </c>
      <c r="O13" s="5" t="s">
        <v>14</v>
      </c>
      <c r="P13" s="306" t="s">
        <v>15</v>
      </c>
      <c r="Q13" s="306" t="s">
        <v>16</v>
      </c>
      <c r="R13" s="306" t="s">
        <v>17</v>
      </c>
      <c r="S13" s="267" t="s">
        <v>18</v>
      </c>
      <c r="T13" s="267"/>
      <c r="U13" s="306" t="s">
        <v>19</v>
      </c>
      <c r="V13" s="306" t="s">
        <v>20</v>
      </c>
      <c r="W13" s="267" t="s">
        <v>21</v>
      </c>
      <c r="X13" s="267" t="s">
        <v>22</v>
      </c>
      <c r="Y13" s="324" t="s">
        <v>23</v>
      </c>
      <c r="Z13" s="324"/>
    </row>
    <row r="14" spans="1:26" x14ac:dyDescent="0.25">
      <c r="A14" s="10">
        <v>11</v>
      </c>
      <c r="B14" s="10"/>
      <c r="C14" s="10">
        <f>+'11'!C31</f>
        <v>24995.585106382976</v>
      </c>
      <c r="D14" s="10">
        <f>+'11'!D31</f>
        <v>0</v>
      </c>
      <c r="E14" s="10">
        <f>+'11'!E31</f>
        <v>2344.627659574468</v>
      </c>
      <c r="F14" s="10">
        <f>+'11'!F31</f>
        <v>50097.51063829787</v>
      </c>
      <c r="G14" s="10">
        <f>+'11'!G31</f>
        <v>56344.117021276594</v>
      </c>
      <c r="H14" s="10">
        <f>+'11'!H31</f>
        <v>0</v>
      </c>
      <c r="I14" s="10">
        <f>+'11'!I31</f>
        <v>0</v>
      </c>
      <c r="J14" s="10">
        <f>+'11'!J31</f>
        <v>1139749.3733429282</v>
      </c>
      <c r="K14" s="10">
        <f>+'11'!K31</f>
        <v>0</v>
      </c>
      <c r="L14" s="10">
        <f>+'11'!L31</f>
        <v>0</v>
      </c>
      <c r="M14" s="10">
        <f>+'11'!M31</f>
        <v>0</v>
      </c>
      <c r="N14" s="10">
        <f>+'11'!N31</f>
        <v>0</v>
      </c>
      <c r="O14" s="10">
        <f>+'11'!O31</f>
        <v>2011.0851063829787</v>
      </c>
      <c r="P14" s="10">
        <f>+'11'!P31</f>
        <v>0</v>
      </c>
      <c r="Q14" s="10">
        <f>+'11'!Q31</f>
        <v>9611.5</v>
      </c>
      <c r="R14" s="10">
        <f>+'11'!R31</f>
        <v>13193.5</v>
      </c>
      <c r="S14" s="10">
        <f>+'11'!S31</f>
        <v>1298347.2988748432</v>
      </c>
      <c r="T14" s="10"/>
      <c r="U14" s="10">
        <f>+'11'!U31</f>
        <v>775256.91816278524</v>
      </c>
      <c r="V14" s="10">
        <f>+'11'!V31</f>
        <v>9453.7138996625854</v>
      </c>
      <c r="W14" s="10">
        <f>+'11'!W31</f>
        <v>0</v>
      </c>
      <c r="X14" s="10">
        <f>+'11'!X31</f>
        <v>50850</v>
      </c>
      <c r="Y14" s="10">
        <f>+'11'!Y31</f>
        <v>2133907.9309372911</v>
      </c>
      <c r="Z14" s="10"/>
    </row>
    <row r="15" spans="1:26" x14ac:dyDescent="0.25">
      <c r="A15" s="10">
        <v>12</v>
      </c>
      <c r="B15" s="10"/>
      <c r="C15" s="10">
        <f>+'12'!C31</f>
        <v>39278.776595744697</v>
      </c>
      <c r="D15" s="10">
        <f>+'12'!D31</f>
        <v>0</v>
      </c>
      <c r="E15" s="10">
        <f>+'12'!E31</f>
        <v>3684.41489361702</v>
      </c>
      <c r="F15" s="10">
        <f>+'12'!F31</f>
        <v>78724.659574468096</v>
      </c>
      <c r="G15" s="10">
        <f>+'12'!G31</f>
        <v>88540.755319148899</v>
      </c>
      <c r="H15" s="10">
        <f>+'12'!H31</f>
        <v>1688592</v>
      </c>
      <c r="I15" s="10">
        <f>+'12'!I31</f>
        <v>0</v>
      </c>
      <c r="J15" s="10">
        <f>+'12'!J31</f>
        <v>19862.322646493802</v>
      </c>
      <c r="K15" s="10">
        <f>+'12'!K31</f>
        <v>812872</v>
      </c>
      <c r="L15" s="10">
        <f>+'12'!L31</f>
        <v>151658</v>
      </c>
      <c r="M15" s="10">
        <f>+'12'!M31</f>
        <v>0</v>
      </c>
      <c r="N15" s="10">
        <f>+'12'!N31</f>
        <v>0</v>
      </c>
      <c r="O15" s="10">
        <f>+'12'!O31</f>
        <v>3160.27659574468</v>
      </c>
      <c r="P15" s="10">
        <f>+'12'!P31</f>
        <v>86669</v>
      </c>
      <c r="Q15" s="10">
        <f>+'12'!Q31</f>
        <v>0</v>
      </c>
      <c r="R15" s="10">
        <f>+'12'!R31</f>
        <v>0</v>
      </c>
      <c r="S15" s="10">
        <f>+'12'!S31</f>
        <v>2973042.2056252169</v>
      </c>
      <c r="T15" s="10"/>
      <c r="U15" s="10">
        <f>+'12'!U31</f>
        <v>372308.857259968</v>
      </c>
      <c r="V15" s="10">
        <f>+'12'!V31</f>
        <v>5152.2956679839899</v>
      </c>
      <c r="W15" s="10">
        <f>+'12'!W31</f>
        <v>0</v>
      </c>
      <c r="X15" s="10">
        <f>+'12'!X31</f>
        <v>0</v>
      </c>
      <c r="Y15" s="10">
        <f>+'12'!Y31</f>
        <v>3350503.3585531688</v>
      </c>
      <c r="Z15" s="10"/>
    </row>
    <row r="16" spans="1:26" x14ac:dyDescent="0.25">
      <c r="A16" s="10">
        <v>13</v>
      </c>
      <c r="B16" s="10"/>
      <c r="C16" s="10">
        <f>+'13'!C31</f>
        <v>47610.638297872341</v>
      </c>
      <c r="D16" s="10">
        <f>+'13'!D31</f>
        <v>0</v>
      </c>
      <c r="E16" s="10">
        <f>+'13'!E31</f>
        <v>4465.9574468085111</v>
      </c>
      <c r="F16" s="10">
        <f>+'13'!F31</f>
        <v>95423.829787234048</v>
      </c>
      <c r="G16" s="10">
        <f>+'13'!G31</f>
        <v>107322.12765957447</v>
      </c>
      <c r="H16" s="10">
        <f>+'13'!H31</f>
        <v>628398</v>
      </c>
      <c r="I16" s="10">
        <f>+'13'!I31</f>
        <v>0</v>
      </c>
      <c r="J16" s="10">
        <f>+'13'!J31</f>
        <v>872487.30401057797</v>
      </c>
      <c r="K16" s="10">
        <f>+'13'!K31</f>
        <v>0</v>
      </c>
      <c r="L16" s="10">
        <f>+'13'!L31</f>
        <v>0</v>
      </c>
      <c r="M16" s="10">
        <f>+'13'!M31</f>
        <v>0</v>
      </c>
      <c r="N16" s="10">
        <f>+'13'!N31</f>
        <v>362</v>
      </c>
      <c r="O16" s="10">
        <f>+'13'!O31</f>
        <v>3830.6382978723404</v>
      </c>
      <c r="P16" s="10">
        <f>+'13'!P31</f>
        <v>0</v>
      </c>
      <c r="Q16" s="10">
        <f>+'13'!Q31</f>
        <v>9611.5</v>
      </c>
      <c r="R16" s="10">
        <f>+'13'!R31</f>
        <v>13193.5</v>
      </c>
      <c r="S16" s="10">
        <f>+'13'!S31</f>
        <v>1782705.4954999397</v>
      </c>
      <c r="T16" s="10"/>
      <c r="U16" s="10">
        <f>+'13'!U31</f>
        <v>1135712.2245772472</v>
      </c>
      <c r="V16" s="10">
        <f>+'13'!V31</f>
        <v>964705.99043235346</v>
      </c>
      <c r="W16" s="10">
        <f>+'13'!W31</f>
        <v>0</v>
      </c>
      <c r="X16" s="10">
        <f>+'13'!X31</f>
        <v>50850</v>
      </c>
      <c r="Y16" s="10">
        <f>+'13'!Y31</f>
        <v>3933973.7105095405</v>
      </c>
      <c r="Z16" s="10"/>
    </row>
    <row r="17" spans="1:26" x14ac:dyDescent="0.25">
      <c r="A17" s="10"/>
      <c r="B17" s="10" t="s">
        <v>263</v>
      </c>
      <c r="C17" s="10">
        <f>SUM(C14:C16)</f>
        <v>111885.00000000001</v>
      </c>
      <c r="D17" s="10">
        <f t="shared" ref="D17:Y17" si="1">SUM(D14:D16)</f>
        <v>0</v>
      </c>
      <c r="E17" s="10">
        <f t="shared" si="1"/>
        <v>10495</v>
      </c>
      <c r="F17" s="10">
        <f t="shared" si="1"/>
        <v>224246</v>
      </c>
      <c r="G17" s="10">
        <f t="shared" si="1"/>
        <v>252206.99999999997</v>
      </c>
      <c r="H17" s="10">
        <f t="shared" si="1"/>
        <v>2316990</v>
      </c>
      <c r="I17" s="10">
        <f t="shared" si="1"/>
        <v>0</v>
      </c>
      <c r="J17" s="10">
        <f t="shared" si="1"/>
        <v>2032099</v>
      </c>
      <c r="K17" s="10">
        <f t="shared" si="1"/>
        <v>812872</v>
      </c>
      <c r="L17" s="10">
        <f t="shared" si="1"/>
        <v>151658</v>
      </c>
      <c r="M17" s="10">
        <f t="shared" si="1"/>
        <v>0</v>
      </c>
      <c r="N17" s="10">
        <f t="shared" si="1"/>
        <v>362</v>
      </c>
      <c r="O17" s="10">
        <f t="shared" si="1"/>
        <v>9002</v>
      </c>
      <c r="P17" s="10">
        <f t="shared" si="1"/>
        <v>86669</v>
      </c>
      <c r="Q17" s="10">
        <f t="shared" si="1"/>
        <v>19223</v>
      </c>
      <c r="R17" s="10">
        <f t="shared" si="1"/>
        <v>26387</v>
      </c>
      <c r="S17" s="10">
        <f t="shared" si="1"/>
        <v>6054095</v>
      </c>
      <c r="T17" s="10"/>
      <c r="U17" s="10">
        <f t="shared" si="1"/>
        <v>2283278.0000000005</v>
      </c>
      <c r="V17" s="10">
        <f t="shared" si="1"/>
        <v>979312</v>
      </c>
      <c r="W17" s="10">
        <f t="shared" si="1"/>
        <v>0</v>
      </c>
      <c r="X17" s="10">
        <f t="shared" si="1"/>
        <v>101700</v>
      </c>
      <c r="Y17" s="111">
        <f t="shared" si="1"/>
        <v>9418385</v>
      </c>
      <c r="Z17" s="10"/>
    </row>
    <row r="18" spans="1:26" x14ac:dyDescent="0.25">
      <c r="A18" s="10"/>
      <c r="B18" s="10" t="s">
        <v>264</v>
      </c>
      <c r="C18" s="10">
        <v>111885</v>
      </c>
      <c r="D18" s="10">
        <v>0</v>
      </c>
      <c r="E18" s="10">
        <v>10495</v>
      </c>
      <c r="F18" s="10">
        <v>224246</v>
      </c>
      <c r="G18" s="10">
        <v>252207</v>
      </c>
      <c r="H18" s="10">
        <v>2316990</v>
      </c>
      <c r="I18" s="10">
        <v>0</v>
      </c>
      <c r="J18" s="10">
        <v>2032099</v>
      </c>
      <c r="K18" s="10">
        <v>812872</v>
      </c>
      <c r="L18" s="10">
        <v>151658</v>
      </c>
      <c r="M18" s="10">
        <v>0</v>
      </c>
      <c r="N18" s="10">
        <v>362</v>
      </c>
      <c r="O18" s="10">
        <v>9002</v>
      </c>
      <c r="P18" s="10">
        <v>86669</v>
      </c>
      <c r="Q18" s="10">
        <v>19223</v>
      </c>
      <c r="R18" s="10">
        <v>26387</v>
      </c>
      <c r="S18" s="10"/>
      <c r="T18" s="10"/>
      <c r="U18" s="10">
        <v>2283278</v>
      </c>
      <c r="V18" s="10">
        <v>979312</v>
      </c>
      <c r="W18" s="10">
        <v>0</v>
      </c>
      <c r="X18" s="10">
        <v>101700</v>
      </c>
      <c r="Y18" s="10">
        <v>9418385</v>
      </c>
      <c r="Z18" s="10"/>
    </row>
    <row r="19" spans="1:26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45" x14ac:dyDescent="0.25">
      <c r="A22" s="10">
        <v>200010</v>
      </c>
      <c r="B22" s="10"/>
      <c r="C22" s="306" t="s">
        <v>2</v>
      </c>
      <c r="D22" s="91" t="s">
        <v>3</v>
      </c>
      <c r="E22" s="91" t="s">
        <v>79</v>
      </c>
      <c r="F22" s="91" t="s">
        <v>102</v>
      </c>
      <c r="G22" s="91" t="s">
        <v>6</v>
      </c>
      <c r="H22" s="91" t="s">
        <v>7</v>
      </c>
      <c r="I22" s="5" t="s">
        <v>101</v>
      </c>
      <c r="J22" s="5" t="s">
        <v>9</v>
      </c>
      <c r="K22" s="5" t="s">
        <v>10</v>
      </c>
      <c r="L22" s="5" t="s">
        <v>11</v>
      </c>
      <c r="M22" s="5" t="s">
        <v>12</v>
      </c>
      <c r="N22" s="5" t="s">
        <v>13</v>
      </c>
      <c r="O22" s="5" t="s">
        <v>14</v>
      </c>
      <c r="P22" s="306" t="s">
        <v>15</v>
      </c>
      <c r="Q22" s="306" t="s">
        <v>16</v>
      </c>
      <c r="R22" s="306" t="s">
        <v>17</v>
      </c>
      <c r="S22" s="267" t="s">
        <v>18</v>
      </c>
      <c r="T22" s="267"/>
      <c r="U22" s="306" t="s">
        <v>19</v>
      </c>
      <c r="V22" s="306" t="s">
        <v>20</v>
      </c>
      <c r="W22" s="267" t="s">
        <v>21</v>
      </c>
      <c r="X22" s="267" t="s">
        <v>22</v>
      </c>
      <c r="Y22" s="324" t="s">
        <v>23</v>
      </c>
      <c r="Z22" s="324"/>
    </row>
    <row r="23" spans="1:26" x14ac:dyDescent="0.25">
      <c r="A23" s="10">
        <v>21</v>
      </c>
      <c r="B23" s="10"/>
      <c r="C23" s="10">
        <f>+'21'!C31</f>
        <v>99.549228678105194</v>
      </c>
      <c r="D23" s="10">
        <f>+'21'!D31</f>
        <v>0</v>
      </c>
      <c r="E23" s="10">
        <f>+'21'!E31</f>
        <v>395.599978312122</v>
      </c>
      <c r="F23" s="10">
        <f>+'21'!F31</f>
        <v>0</v>
      </c>
      <c r="G23" s="10">
        <f>+'21'!G31</f>
        <v>4570.6080645251795</v>
      </c>
      <c r="H23" s="10">
        <f>+'21'!H31</f>
        <v>0</v>
      </c>
      <c r="I23" s="10">
        <f>+'21'!I31</f>
        <v>0</v>
      </c>
      <c r="J23" s="10">
        <f>+'21'!J31</f>
        <v>44815.1772083588</v>
      </c>
      <c r="K23" s="10">
        <f>+'21'!K31</f>
        <v>0</v>
      </c>
      <c r="L23" s="10">
        <f>+'21'!L31</f>
        <v>0</v>
      </c>
      <c r="M23" s="10">
        <f>+'21'!M31</f>
        <v>0</v>
      </c>
      <c r="N23" s="10">
        <f>+'21'!N31</f>
        <v>0</v>
      </c>
      <c r="O23" s="10">
        <f>+'21'!O31</f>
        <v>0</v>
      </c>
      <c r="P23" s="10">
        <f>+'21'!P31</f>
        <v>0</v>
      </c>
      <c r="Q23" s="10">
        <f>+'21'!Q31</f>
        <v>0</v>
      </c>
      <c r="R23" s="10">
        <f>+'21'!R31</f>
        <v>0</v>
      </c>
      <c r="S23" s="10">
        <f>+'21'!S31</f>
        <v>49880.93447987421</v>
      </c>
      <c r="T23" s="10"/>
      <c r="U23" s="10">
        <f>+'21'!U31</f>
        <v>407359.77197813999</v>
      </c>
      <c r="V23" s="10">
        <f>+'21'!V31</f>
        <v>6837.7335419856799</v>
      </c>
      <c r="W23" s="10">
        <f>+'21'!W31</f>
        <v>0</v>
      </c>
      <c r="X23" s="10">
        <f>+'21'!X31</f>
        <v>0</v>
      </c>
      <c r="Y23" s="10">
        <f>+'21'!Y31</f>
        <v>464078.43999999989</v>
      </c>
      <c r="Z23" s="10"/>
    </row>
    <row r="24" spans="1:26" x14ac:dyDescent="0.25">
      <c r="A24" s="10">
        <v>22</v>
      </c>
      <c r="B24" s="10"/>
      <c r="C24" s="10">
        <f>+'22'!C31</f>
        <v>0</v>
      </c>
      <c r="D24" s="10">
        <f>+'22'!D31</f>
        <v>0</v>
      </c>
      <c r="E24" s="10">
        <f>+'22'!E31</f>
        <v>2059.3321598876896</v>
      </c>
      <c r="F24" s="10">
        <f>+'22'!F31</f>
        <v>0</v>
      </c>
      <c r="G24" s="10">
        <f>+'22'!G31</f>
        <v>18626.543693366184</v>
      </c>
      <c r="H24" s="10">
        <f>+'22'!H31</f>
        <v>226018.80000000002</v>
      </c>
      <c r="I24" s="10">
        <f>+'22'!I31</f>
        <v>0</v>
      </c>
      <c r="J24" s="10">
        <f>+'22'!J31</f>
        <v>522988.57334525796</v>
      </c>
      <c r="K24" s="10">
        <f>+'22'!K31</f>
        <v>0</v>
      </c>
      <c r="L24" s="10">
        <f>+'22'!L31</f>
        <v>0</v>
      </c>
      <c r="M24" s="10">
        <f>+'22'!M31</f>
        <v>0</v>
      </c>
      <c r="N24" s="10">
        <f>+'22'!N31</f>
        <v>0</v>
      </c>
      <c r="O24" s="10">
        <f>+'22'!O31</f>
        <v>0</v>
      </c>
      <c r="P24" s="10">
        <f>+'22'!P31</f>
        <v>0</v>
      </c>
      <c r="Q24" s="10">
        <f>+'22'!Q31</f>
        <v>0</v>
      </c>
      <c r="R24" s="10">
        <f>+'22'!R31</f>
        <v>0</v>
      </c>
      <c r="S24" s="10">
        <f>+'22'!S31</f>
        <v>769693.24919851182</v>
      </c>
      <c r="T24" s="10"/>
      <c r="U24" s="10">
        <f>+'22'!U31</f>
        <v>894919.84512523224</v>
      </c>
      <c r="V24" s="10">
        <f>+'22'!V31</f>
        <v>451489</v>
      </c>
      <c r="W24" s="10">
        <f>+'22'!W31</f>
        <v>0</v>
      </c>
      <c r="X24" s="10">
        <f>+'22'!X31</f>
        <v>0</v>
      </c>
      <c r="Y24" s="10">
        <f>+'22'!Y31</f>
        <v>2116102.0943237441</v>
      </c>
      <c r="Z24" s="10"/>
    </row>
    <row r="25" spans="1:26" x14ac:dyDescent="0.25">
      <c r="A25" s="10">
        <v>23</v>
      </c>
      <c r="B25" s="10"/>
      <c r="C25" s="10">
        <f>+'23'!C31</f>
        <v>1724.4507713218948</v>
      </c>
      <c r="D25" s="10">
        <f>+'23'!D31</f>
        <v>0</v>
      </c>
      <c r="E25" s="10">
        <f>+'23'!E31</f>
        <v>1639.0678618001884</v>
      </c>
      <c r="F25" s="10">
        <f>+'23'!F31</f>
        <v>84061</v>
      </c>
      <c r="G25" s="10">
        <f>+'23'!G31</f>
        <v>13832.848242108637</v>
      </c>
      <c r="H25" s="10">
        <f>+'23'!H31</f>
        <v>4150.1999999999825</v>
      </c>
      <c r="I25" s="10">
        <f>+'23'!I31</f>
        <v>0</v>
      </c>
      <c r="J25" s="10">
        <f>+'23'!J31</f>
        <v>471910.24944638321</v>
      </c>
      <c r="K25" s="10">
        <f>+'23'!K31</f>
        <v>0</v>
      </c>
      <c r="L25" s="10">
        <f>+'23'!L31</f>
        <v>0</v>
      </c>
      <c r="M25" s="10">
        <f>+'23'!M31</f>
        <v>0</v>
      </c>
      <c r="N25" s="10">
        <f>+'23'!N31</f>
        <v>0</v>
      </c>
      <c r="O25" s="10">
        <f>+'23'!O31</f>
        <v>0</v>
      </c>
      <c r="P25" s="10">
        <f>+'23'!P31</f>
        <v>0</v>
      </c>
      <c r="Q25" s="10">
        <f>+'23'!Q31</f>
        <v>2906</v>
      </c>
      <c r="R25" s="10">
        <f>+'23'!R31</f>
        <v>0</v>
      </c>
      <c r="S25" s="10">
        <f>+'23'!S31</f>
        <v>580223.81632161397</v>
      </c>
      <c r="T25" s="10"/>
      <c r="U25" s="10">
        <f>+'23'!U31</f>
        <v>822296.38289662788</v>
      </c>
      <c r="V25" s="10">
        <f>+'23'!V31</f>
        <v>127848.26645801438</v>
      </c>
      <c r="W25" s="10">
        <f>+'23'!W31</f>
        <v>0</v>
      </c>
      <c r="X25" s="10">
        <f>+'23'!X31</f>
        <v>26555</v>
      </c>
      <c r="Y25" s="10">
        <f>+'23'!Y31</f>
        <v>1556923.4656762565</v>
      </c>
      <c r="Z25" s="10"/>
    </row>
    <row r="26" spans="1:26" x14ac:dyDescent="0.25">
      <c r="A26" s="10"/>
      <c r="B26" s="10" t="s">
        <v>263</v>
      </c>
      <c r="C26" s="10">
        <f>SUM(C23:C25)</f>
        <v>1824</v>
      </c>
      <c r="D26" s="10">
        <f t="shared" ref="D26:Y26" si="2">SUM(D23:D25)</f>
        <v>0</v>
      </c>
      <c r="E26" s="10">
        <f t="shared" si="2"/>
        <v>4094</v>
      </c>
      <c r="F26" s="10">
        <f t="shared" si="2"/>
        <v>84061</v>
      </c>
      <c r="G26" s="10">
        <f t="shared" si="2"/>
        <v>37030</v>
      </c>
      <c r="H26" s="10">
        <f t="shared" si="2"/>
        <v>230169</v>
      </c>
      <c r="I26" s="10">
        <f t="shared" si="2"/>
        <v>0</v>
      </c>
      <c r="J26" s="10">
        <f t="shared" si="2"/>
        <v>1039714</v>
      </c>
      <c r="K26" s="10">
        <f t="shared" si="2"/>
        <v>0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2906</v>
      </c>
      <c r="R26" s="10">
        <f t="shared" si="2"/>
        <v>0</v>
      </c>
      <c r="S26" s="10">
        <f t="shared" si="2"/>
        <v>1399798</v>
      </c>
      <c r="T26" s="10"/>
      <c r="U26" s="10">
        <f t="shared" si="2"/>
        <v>2124576</v>
      </c>
      <c r="V26" s="10">
        <f t="shared" si="2"/>
        <v>586175</v>
      </c>
      <c r="W26" s="10">
        <f t="shared" si="2"/>
        <v>0</v>
      </c>
      <c r="X26" s="10">
        <f t="shared" si="2"/>
        <v>26555</v>
      </c>
      <c r="Y26" s="111">
        <f t="shared" si="2"/>
        <v>4137104.0000000005</v>
      </c>
      <c r="Z26" s="10"/>
    </row>
    <row r="27" spans="1:26" x14ac:dyDescent="0.25">
      <c r="A27" s="10"/>
      <c r="B27" s="10" t="s">
        <v>264</v>
      </c>
      <c r="C27" s="10">
        <v>1824</v>
      </c>
      <c r="D27" s="10">
        <v>0</v>
      </c>
      <c r="E27" s="10">
        <v>4094</v>
      </c>
      <c r="F27" s="10">
        <v>84061</v>
      </c>
      <c r="G27" s="10">
        <v>37030</v>
      </c>
      <c r="H27" s="10">
        <v>230169</v>
      </c>
      <c r="I27" s="10">
        <v>0</v>
      </c>
      <c r="J27" s="10">
        <v>1039714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2906</v>
      </c>
      <c r="R27" s="10">
        <v>0</v>
      </c>
      <c r="S27" s="10"/>
      <c r="T27" s="10"/>
      <c r="U27" s="10">
        <v>2124576</v>
      </c>
      <c r="V27" s="10">
        <v>586175</v>
      </c>
      <c r="W27" s="10">
        <v>0</v>
      </c>
      <c r="X27" s="10">
        <v>26555</v>
      </c>
      <c r="Y27" s="10">
        <v>4137104</v>
      </c>
      <c r="Z27" s="10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45" x14ac:dyDescent="0.25">
      <c r="A31" s="10">
        <v>230020</v>
      </c>
      <c r="B31" s="10"/>
      <c r="C31" s="306" t="s">
        <v>2</v>
      </c>
      <c r="D31" s="91" t="s">
        <v>3</v>
      </c>
      <c r="E31" s="91" t="s">
        <v>79</v>
      </c>
      <c r="F31" s="91" t="s">
        <v>102</v>
      </c>
      <c r="G31" s="91" t="s">
        <v>6</v>
      </c>
      <c r="H31" s="91" t="s">
        <v>7</v>
      </c>
      <c r="I31" s="5" t="s">
        <v>101</v>
      </c>
      <c r="J31" s="5" t="s">
        <v>9</v>
      </c>
      <c r="K31" s="5" t="s">
        <v>10</v>
      </c>
      <c r="L31" s="5" t="s">
        <v>11</v>
      </c>
      <c r="M31" s="5" t="s">
        <v>12</v>
      </c>
      <c r="N31" s="5" t="s">
        <v>13</v>
      </c>
      <c r="O31" s="5" t="s">
        <v>14</v>
      </c>
      <c r="P31" s="306" t="s">
        <v>15</v>
      </c>
      <c r="Q31" s="306" t="s">
        <v>16</v>
      </c>
      <c r="R31" s="306" t="s">
        <v>17</v>
      </c>
      <c r="S31" s="267" t="s">
        <v>18</v>
      </c>
      <c r="T31" s="267"/>
      <c r="U31" s="306" t="s">
        <v>19</v>
      </c>
      <c r="V31" s="306" t="s">
        <v>20</v>
      </c>
      <c r="W31" s="267" t="s">
        <v>21</v>
      </c>
      <c r="X31" s="267" t="s">
        <v>22</v>
      </c>
      <c r="Y31" s="324" t="s">
        <v>23</v>
      </c>
      <c r="Z31" s="324"/>
    </row>
    <row r="32" spans="1:26" x14ac:dyDescent="0.25">
      <c r="A32">
        <v>28</v>
      </c>
      <c r="C32">
        <f>+'28'!C31</f>
        <v>36972.696081133116</v>
      </c>
      <c r="D32">
        <f>+'28'!D31</f>
        <v>7.040689793197819</v>
      </c>
      <c r="E32">
        <f>+'28'!E31</f>
        <v>2348.4611954644279</v>
      </c>
      <c r="F32">
        <f>+'28'!F31</f>
        <v>320779.77244947356</v>
      </c>
      <c r="G32">
        <f>+'28'!G31</f>
        <v>113449.29445394054</v>
      </c>
      <c r="H32">
        <f>+'28'!H31</f>
        <v>41179.117083135854</v>
      </c>
      <c r="I32">
        <f>+'28'!I31</f>
        <v>6712661</v>
      </c>
      <c r="J32">
        <f>+'28'!J31</f>
        <v>0</v>
      </c>
      <c r="K32" s="64">
        <f>+'28'!K31</f>
        <v>357030</v>
      </c>
      <c r="L32">
        <f>+'28'!L31</f>
        <v>130307.37237891775</v>
      </c>
      <c r="M32">
        <f>+'28'!M31</f>
        <v>0</v>
      </c>
      <c r="N32">
        <f>+'28'!N31</f>
        <v>0</v>
      </c>
      <c r="O32">
        <f>+'28'!O31</f>
        <v>0</v>
      </c>
      <c r="P32">
        <f>+'28'!P31</f>
        <v>0</v>
      </c>
      <c r="Q32">
        <f>+'28'!Q31</f>
        <v>0</v>
      </c>
      <c r="R32">
        <f>+'28'!R31</f>
        <v>1554386</v>
      </c>
      <c r="S32">
        <f>+'28'!S31</f>
        <v>9269120.754331857</v>
      </c>
      <c r="U32" s="179">
        <f>+'28'!U31</f>
        <v>1089714</v>
      </c>
      <c r="V32">
        <f>+'28'!V31</f>
        <v>0</v>
      </c>
      <c r="W32">
        <f>+'28'!W31</f>
        <v>0</v>
      </c>
      <c r="X32">
        <f>+'28'!X31</f>
        <v>0</v>
      </c>
      <c r="Y32">
        <f>+'28'!Y31</f>
        <v>10358834.754331857</v>
      </c>
    </row>
    <row r="33" spans="1:25" x14ac:dyDescent="0.25">
      <c r="A33">
        <v>29</v>
      </c>
      <c r="C33">
        <f>+'29'!C31</f>
        <v>0</v>
      </c>
      <c r="D33">
        <f>+'29'!D31</f>
        <v>0</v>
      </c>
      <c r="E33">
        <f>+'29'!E31</f>
        <v>0</v>
      </c>
      <c r="F33">
        <f>+'29'!F31</f>
        <v>0</v>
      </c>
      <c r="G33">
        <f>+'29'!G31</f>
        <v>0</v>
      </c>
      <c r="H33">
        <f>+'29'!H31</f>
        <v>0</v>
      </c>
      <c r="I33">
        <f>+'29'!I31</f>
        <v>0</v>
      </c>
      <c r="J33">
        <f>+'29'!J31</f>
        <v>1172163</v>
      </c>
      <c r="K33" s="64">
        <f>+'29'!K31</f>
        <v>32250</v>
      </c>
      <c r="L33">
        <f>+'29'!L31</f>
        <v>11771</v>
      </c>
      <c r="M33">
        <f>+'29'!M31</f>
        <v>0</v>
      </c>
      <c r="N33">
        <f>+'29'!N31</f>
        <v>0</v>
      </c>
      <c r="O33">
        <f>+'29'!O31</f>
        <v>105931</v>
      </c>
      <c r="P33">
        <f>+'29'!P31</f>
        <v>0</v>
      </c>
      <c r="Q33">
        <f>+'29'!Q31</f>
        <v>0</v>
      </c>
      <c r="R33">
        <f>+'29'!R31</f>
        <v>0</v>
      </c>
      <c r="S33">
        <f>+'29'!S31</f>
        <v>1322115</v>
      </c>
      <c r="U33" s="179">
        <f>+'29'!U31</f>
        <v>121745</v>
      </c>
      <c r="V33">
        <f>+'29'!V31</f>
        <v>0</v>
      </c>
      <c r="W33">
        <f>+'29'!W31</f>
        <v>0</v>
      </c>
      <c r="X33">
        <f>+'29'!X31</f>
        <v>0</v>
      </c>
      <c r="Y33">
        <f>+'29'!Y31</f>
        <v>1443860</v>
      </c>
    </row>
    <row r="34" spans="1:25" x14ac:dyDescent="0.25">
      <c r="A34">
        <v>30</v>
      </c>
      <c r="C34">
        <f>+'30'!C31</f>
        <v>45371.156977488688</v>
      </c>
      <c r="D34">
        <f>+'30'!D31</f>
        <v>8.6400039947314138</v>
      </c>
      <c r="E34">
        <f>+'30'!E31</f>
        <v>2881.9213324648563</v>
      </c>
      <c r="F34">
        <f>+'30'!F31</f>
        <v>393645.87800333661</v>
      </c>
      <c r="G34">
        <f>+'30'!G31</f>
        <v>139219.64836861641</v>
      </c>
      <c r="H34">
        <f>+'30'!H31</f>
        <v>50533.079364118785</v>
      </c>
      <c r="I34">
        <f>+'30'!I31</f>
        <v>0</v>
      </c>
      <c r="J34">
        <f>+'30'!J31</f>
        <v>888875.89547783101</v>
      </c>
      <c r="K34" s="64">
        <f>+'30'!K31</f>
        <v>0</v>
      </c>
      <c r="L34">
        <f>+'30'!L31</f>
        <v>0</v>
      </c>
      <c r="M34">
        <f>+'30'!M31</f>
        <v>0</v>
      </c>
      <c r="N34">
        <f>+'30'!N31</f>
        <v>0</v>
      </c>
      <c r="O34">
        <f>+'30'!O31</f>
        <v>0</v>
      </c>
      <c r="P34">
        <f>+'30'!P31</f>
        <v>0</v>
      </c>
      <c r="Q34">
        <f>+'30'!Q31</f>
        <v>27383</v>
      </c>
      <c r="R34">
        <f>+'30'!R31</f>
        <v>0</v>
      </c>
      <c r="S34">
        <f>+'30'!S31</f>
        <v>1547919.2195278511</v>
      </c>
      <c r="U34" s="179">
        <f>+'30'!U31</f>
        <v>123694</v>
      </c>
      <c r="V34">
        <f>+'30'!V31</f>
        <v>19103</v>
      </c>
      <c r="W34">
        <f>+'30'!W31</f>
        <v>0</v>
      </c>
      <c r="X34">
        <f>+'30'!X31</f>
        <v>16915.5</v>
      </c>
      <c r="Y34">
        <f>+'30'!Y31</f>
        <v>1707631.7195278511</v>
      </c>
    </row>
    <row r="35" spans="1:25" x14ac:dyDescent="0.25">
      <c r="A35">
        <v>31</v>
      </c>
      <c r="C35">
        <f>+'31'!C31</f>
        <v>2841</v>
      </c>
      <c r="D35">
        <f>+'31'!D31</f>
        <v>1</v>
      </c>
      <c r="E35">
        <f>+'31'!E31</f>
        <v>180</v>
      </c>
      <c r="F35">
        <f>+'31'!F31</f>
        <v>24651</v>
      </c>
      <c r="G35">
        <f>+'31'!G31</f>
        <v>8718</v>
      </c>
      <c r="H35">
        <f>+'31'!H31</f>
        <v>3165</v>
      </c>
      <c r="I35">
        <f>+'31'!I31</f>
        <v>0</v>
      </c>
      <c r="J35">
        <f>+'31'!J31</f>
        <v>495755</v>
      </c>
      <c r="K35" s="64">
        <f>+'31'!K31</f>
        <v>855282</v>
      </c>
      <c r="L35">
        <f>+'31'!L31</f>
        <v>312158</v>
      </c>
      <c r="M35">
        <f>+'31'!M31</f>
        <v>0</v>
      </c>
      <c r="N35">
        <f>+'31'!N31</f>
        <v>0</v>
      </c>
      <c r="O35">
        <f>+'31'!O31</f>
        <v>0</v>
      </c>
      <c r="P35">
        <f>+'31'!P31</f>
        <v>0</v>
      </c>
      <c r="Q35">
        <f>+'31'!Q31</f>
        <v>0</v>
      </c>
      <c r="R35">
        <f>+'31'!R31</f>
        <v>0</v>
      </c>
      <c r="S35">
        <f>+'31'!S31</f>
        <v>1702751</v>
      </c>
      <c r="U35" s="179">
        <f>+'31'!U31</f>
        <v>340937</v>
      </c>
      <c r="V35">
        <f>+'31'!V31</f>
        <v>0</v>
      </c>
      <c r="W35">
        <f>+'31'!W31</f>
        <v>0</v>
      </c>
      <c r="X35">
        <f>+'31'!X31</f>
        <v>0</v>
      </c>
      <c r="Y35">
        <f>+'31'!Y31</f>
        <v>2043688</v>
      </c>
    </row>
    <row r="36" spans="1:25" x14ac:dyDescent="0.25">
      <c r="A36">
        <v>32</v>
      </c>
      <c r="C36">
        <f>+'32'!C31</f>
        <v>151123</v>
      </c>
      <c r="D36">
        <f>+'32'!D31</f>
        <v>29</v>
      </c>
      <c r="E36">
        <f>+'32'!E31</f>
        <v>9599</v>
      </c>
      <c r="F36">
        <f>+'32'!F31</f>
        <v>1311161</v>
      </c>
      <c r="G36">
        <f>+'32'!G31</f>
        <v>463715</v>
      </c>
      <c r="H36">
        <f>+'32'!H31</f>
        <v>168316</v>
      </c>
      <c r="I36">
        <f>+'32'!I31</f>
        <v>0</v>
      </c>
      <c r="J36">
        <f>+'32'!J31</f>
        <v>777873</v>
      </c>
      <c r="K36">
        <f>+'32'!K31</f>
        <v>0</v>
      </c>
      <c r="L36">
        <f>+'32'!L31</f>
        <v>0</v>
      </c>
      <c r="M36">
        <f>+'32'!M31</f>
        <v>0</v>
      </c>
      <c r="N36">
        <f>+'32'!N31</f>
        <v>133</v>
      </c>
      <c r="O36">
        <f>+'32'!O31</f>
        <v>10112</v>
      </c>
      <c r="P36">
        <f>+'32'!P31</f>
        <v>0</v>
      </c>
      <c r="Q36">
        <f>+'32'!Q31</f>
        <v>27383</v>
      </c>
      <c r="R36">
        <f>+'32'!R31</f>
        <v>0</v>
      </c>
      <c r="S36">
        <f>+'32'!S31</f>
        <v>2919444</v>
      </c>
      <c r="U36" s="179">
        <f>+'32'!U31</f>
        <v>298687</v>
      </c>
      <c r="V36">
        <f>+'32'!V31</f>
        <v>59082</v>
      </c>
      <c r="W36">
        <f>+'32'!W31</f>
        <v>0</v>
      </c>
      <c r="X36">
        <f>+'32'!X31</f>
        <v>16915.5</v>
      </c>
      <c r="Y36">
        <f>+'32'!Y31</f>
        <v>3294128.5</v>
      </c>
    </row>
    <row r="37" spans="1:25" x14ac:dyDescent="0.25">
      <c r="B37" t="s">
        <v>263</v>
      </c>
      <c r="C37" s="64">
        <f>SUM(C32:C36)</f>
        <v>236307.85305862181</v>
      </c>
      <c r="D37" s="64">
        <f t="shared" ref="D37:Y37" si="3">SUM(D32:D36)</f>
        <v>45.680693787929229</v>
      </c>
      <c r="E37" s="64">
        <f t="shared" si="3"/>
        <v>15009.382527929283</v>
      </c>
      <c r="F37" s="64">
        <f t="shared" si="3"/>
        <v>2050237.6504528101</v>
      </c>
      <c r="G37" s="64">
        <f t="shared" si="3"/>
        <v>725101.94282255694</v>
      </c>
      <c r="H37" s="64">
        <f t="shared" si="3"/>
        <v>263193.19644725462</v>
      </c>
      <c r="I37" s="64">
        <f t="shared" si="3"/>
        <v>6712661</v>
      </c>
      <c r="J37" s="64">
        <f t="shared" si="3"/>
        <v>3334666.8954778309</v>
      </c>
      <c r="K37" s="179">
        <f t="shared" si="3"/>
        <v>1244562</v>
      </c>
      <c r="L37" s="64">
        <f t="shared" si="3"/>
        <v>454236.37237891776</v>
      </c>
      <c r="M37" s="64">
        <f t="shared" si="3"/>
        <v>0</v>
      </c>
      <c r="N37" s="64">
        <f t="shared" si="3"/>
        <v>133</v>
      </c>
      <c r="O37" s="64">
        <f t="shared" si="3"/>
        <v>116043</v>
      </c>
      <c r="P37" s="64">
        <f t="shared" si="3"/>
        <v>0</v>
      </c>
      <c r="Q37" s="64">
        <f t="shared" si="3"/>
        <v>54766</v>
      </c>
      <c r="R37" s="64">
        <f t="shared" si="3"/>
        <v>1554386</v>
      </c>
      <c r="S37" s="64">
        <f t="shared" si="3"/>
        <v>16761349.973859709</v>
      </c>
      <c r="T37" s="64"/>
      <c r="U37" s="179">
        <f t="shared" si="3"/>
        <v>1974777</v>
      </c>
      <c r="V37" s="179">
        <f t="shared" si="3"/>
        <v>78185</v>
      </c>
      <c r="W37" s="179">
        <f t="shared" si="3"/>
        <v>0</v>
      </c>
      <c r="X37" s="179">
        <f t="shared" si="3"/>
        <v>33831</v>
      </c>
      <c r="Y37" s="179">
        <f t="shared" si="3"/>
        <v>18848142.973859709</v>
      </c>
    </row>
    <row r="38" spans="1:25" x14ac:dyDescent="0.25">
      <c r="B38" t="s">
        <v>264</v>
      </c>
      <c r="C38">
        <v>236308</v>
      </c>
      <c r="D38">
        <v>45</v>
      </c>
      <c r="E38">
        <v>15010</v>
      </c>
      <c r="F38">
        <v>2050238</v>
      </c>
      <c r="G38">
        <v>725102</v>
      </c>
      <c r="H38">
        <v>263193</v>
      </c>
      <c r="I38">
        <v>6712661</v>
      </c>
      <c r="J38">
        <v>3334667</v>
      </c>
      <c r="K38">
        <v>1244562</v>
      </c>
      <c r="L38">
        <v>454236</v>
      </c>
      <c r="M38">
        <v>0</v>
      </c>
      <c r="N38">
        <v>133</v>
      </c>
      <c r="O38">
        <v>116043</v>
      </c>
      <c r="P38">
        <v>0</v>
      </c>
      <c r="Q38">
        <v>54766</v>
      </c>
      <c r="R38">
        <v>1554386</v>
      </c>
      <c r="U38">
        <v>1974777</v>
      </c>
      <c r="V38">
        <v>78185</v>
      </c>
      <c r="W38">
        <v>0</v>
      </c>
      <c r="X38">
        <v>33831</v>
      </c>
      <c r="Y38" s="179">
        <v>18848143</v>
      </c>
    </row>
  </sheetData>
  <mergeCells count="2">
    <mergeCell ref="S4:T4"/>
    <mergeCell ref="Y4:Z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45"/>
  <sheetViews>
    <sheetView zoomScale="90" zoomScaleNormal="90" workbookViewId="0">
      <selection activeCell="U37" sqref="U37"/>
    </sheetView>
  </sheetViews>
  <sheetFormatPr defaultRowHeight="15" x14ac:dyDescent="0.25"/>
  <cols>
    <col min="1" max="1" width="33.85546875" customWidth="1"/>
    <col min="2" max="2" width="6" customWidth="1"/>
    <col min="3" max="3" width="8.5703125" customWidth="1"/>
    <col min="4" max="4" width="12.7109375" customWidth="1"/>
    <col min="5" max="5" width="12.5703125" customWidth="1"/>
    <col min="6" max="6" width="9.28515625" customWidth="1"/>
    <col min="7" max="7" width="8.140625" bestFit="1" customWidth="1"/>
    <col min="8" max="8" width="9.140625" bestFit="1" customWidth="1"/>
    <col min="9" max="9" width="11.28515625" customWidth="1"/>
    <col min="10" max="10" width="9.140625" bestFit="1" customWidth="1"/>
    <col min="11" max="11" width="8.140625" customWidth="1"/>
    <col min="12" max="12" width="5.28515625" bestFit="1" customWidth="1"/>
    <col min="13" max="13" width="5.7109375" bestFit="1" customWidth="1"/>
    <col min="14" max="14" width="9.140625" bestFit="1" customWidth="1"/>
    <col min="15" max="15" width="10.7109375" bestFit="1" customWidth="1"/>
    <col min="16" max="16" width="7" bestFit="1" customWidth="1"/>
    <col min="17" max="17" width="7.28515625" bestFit="1" customWidth="1"/>
    <col min="18" max="18" width="6.42578125" bestFit="1" customWidth="1"/>
    <col min="19" max="19" width="10.85546875" customWidth="1"/>
    <col min="20" max="20" width="7.140625" customWidth="1"/>
    <col min="21" max="21" width="9.28515625" customWidth="1"/>
    <col min="22" max="22" width="11" customWidth="1"/>
    <col min="23" max="23" width="9" customWidth="1"/>
    <col min="24" max="24" width="11.85546875" customWidth="1"/>
    <col min="25" max="25" width="10.140625" customWidth="1"/>
    <col min="26" max="26" width="7.140625" customWidth="1"/>
    <col min="27" max="27" width="1.85546875" customWidth="1"/>
  </cols>
  <sheetData>
    <row r="1" spans="1:29" ht="15" customHeight="1" x14ac:dyDescent="0.25">
      <c r="A1" s="325" t="s">
        <v>158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66" t="s">
        <v>1</v>
      </c>
      <c r="C4" s="184" t="s">
        <v>2</v>
      </c>
      <c r="D4" s="5" t="s">
        <v>3</v>
      </c>
      <c r="E4" s="5" t="s">
        <v>4</v>
      </c>
      <c r="F4" s="5" t="s">
        <v>102</v>
      </c>
      <c r="G4" s="185" t="s">
        <v>6</v>
      </c>
      <c r="H4" s="185" t="s">
        <v>7</v>
      </c>
      <c r="I4" s="5" t="s">
        <v>101</v>
      </c>
      <c r="J4" s="185" t="s">
        <v>9</v>
      </c>
      <c r="K4" s="185" t="s">
        <v>10</v>
      </c>
      <c r="L4" s="185" t="s">
        <v>11</v>
      </c>
      <c r="M4" s="185" t="s">
        <v>12</v>
      </c>
      <c r="N4" s="185" t="s">
        <v>13</v>
      </c>
      <c r="O4" s="5" t="s">
        <v>14</v>
      </c>
      <c r="P4" s="185" t="s">
        <v>15</v>
      </c>
      <c r="Q4" s="185" t="s">
        <v>16</v>
      </c>
      <c r="R4" s="185" t="s">
        <v>17</v>
      </c>
      <c r="S4" s="327" t="s">
        <v>18</v>
      </c>
      <c r="T4" s="328"/>
      <c r="U4" s="184" t="s">
        <v>19</v>
      </c>
      <c r="V4" s="185" t="s">
        <v>20</v>
      </c>
      <c r="W4" s="7" t="s">
        <v>21</v>
      </c>
      <c r="X4" s="7" t="s">
        <v>22</v>
      </c>
      <c r="Y4" s="329" t="s">
        <v>23</v>
      </c>
      <c r="Z4" s="330"/>
      <c r="AA4" s="181"/>
      <c r="AB4" s="181"/>
      <c r="AC4" s="181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8" t="s">
        <v>24</v>
      </c>
      <c r="T5" s="182" t="s">
        <v>25</v>
      </c>
      <c r="U5" s="182" t="s">
        <v>25</v>
      </c>
      <c r="V5" s="182" t="s">
        <v>25</v>
      </c>
      <c r="W5" s="182" t="s">
        <v>25</v>
      </c>
      <c r="X5" s="182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10</v>
      </c>
      <c r="G6" s="19"/>
      <c r="H6" s="19">
        <v>6</v>
      </c>
      <c r="I6" s="19"/>
      <c r="J6" s="19">
        <v>10</v>
      </c>
      <c r="K6" s="19">
        <v>10</v>
      </c>
      <c r="L6" s="19"/>
      <c r="M6" s="19"/>
      <c r="N6" s="19">
        <v>12</v>
      </c>
      <c r="O6" s="19">
        <v>12</v>
      </c>
      <c r="P6" s="19"/>
      <c r="Q6" s="19">
        <v>10</v>
      </c>
      <c r="R6" s="19"/>
      <c r="S6" s="24">
        <f>C6/100*$C$31+D6/100*$D$31+E6/100*$E$31+F6/100*$F$31+G6/100*$G$31+H6/100*$H$31+I6/100*$I$31+J6/100*$J$31+K6/100*$K$31+L6/100*$L$31+M6/100*$M$31+N6/100*$N$31+O6/100*$O$31+P6/100*$P$31+Q6/100*$Q$31+R6/100*$R$31</f>
        <v>311466.78000000003</v>
      </c>
      <c r="T6" s="100">
        <f>S6*100/$S$31</f>
        <v>10.377936452932788</v>
      </c>
      <c r="U6" s="22"/>
      <c r="V6" s="22"/>
      <c r="W6" s="22"/>
      <c r="X6" s="23"/>
      <c r="Y6" s="20">
        <f>U6/100*$U$31+V6/100*$V$31+W6/100*$W$31+X6/100*$X$31+S6</f>
        <v>311466.78000000003</v>
      </c>
      <c r="Z6" s="25">
        <f t="shared" ref="Z6:Z29" si="0">Y6*100/$Y$31</f>
        <v>9.31991142895615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9</v>
      </c>
      <c r="G7" s="22"/>
      <c r="H7" s="22">
        <v>12</v>
      </c>
      <c r="I7" s="22"/>
      <c r="J7" s="22">
        <v>5</v>
      </c>
      <c r="K7" s="22">
        <v>6</v>
      </c>
      <c r="L7" s="22"/>
      <c r="M7" s="22"/>
      <c r="N7" s="22">
        <v>7</v>
      </c>
      <c r="O7" s="22">
        <v>7</v>
      </c>
      <c r="P7" s="22"/>
      <c r="Q7" s="22">
        <v>90</v>
      </c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208677.65000000002</v>
      </c>
      <c r="T7" s="100">
        <f t="shared" ref="T7:T29" si="2">S7*100/$S$31</f>
        <v>6.9530477402673574</v>
      </c>
      <c r="U7" s="22"/>
      <c r="V7" s="22"/>
      <c r="W7" s="22"/>
      <c r="X7" s="23"/>
      <c r="Y7" s="20">
        <f t="shared" ref="Y7:Y29" si="3">U7/100*$U$31+V7/100*$V$31+W7/100*$W$31+X7/100*$X$31+S7</f>
        <v>208677.65000000002</v>
      </c>
      <c r="Z7" s="25">
        <f t="shared" si="0"/>
        <v>6.2441882733134859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/>
      <c r="G8" s="22"/>
      <c r="H8" s="22">
        <v>29</v>
      </c>
      <c r="I8" s="22"/>
      <c r="J8" s="22">
        <v>20</v>
      </c>
      <c r="K8" s="22">
        <v>18</v>
      </c>
      <c r="L8" s="22"/>
      <c r="M8" s="22"/>
      <c r="N8" s="22">
        <v>20</v>
      </c>
      <c r="O8" s="22">
        <v>20</v>
      </c>
      <c r="P8" s="22"/>
      <c r="Q8" s="22"/>
      <c r="R8" s="22"/>
      <c r="S8" s="20">
        <f t="shared" si="1"/>
        <v>456783.69</v>
      </c>
      <c r="T8" s="100">
        <f t="shared" si="2"/>
        <v>15.219832136050432</v>
      </c>
      <c r="U8" s="22"/>
      <c r="V8" s="22"/>
      <c r="W8" s="22"/>
      <c r="X8" s="23"/>
      <c r="Y8" s="20">
        <f t="shared" si="3"/>
        <v>456783.69</v>
      </c>
      <c r="Z8" s="25">
        <f t="shared" si="0"/>
        <v>13.6681784586843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>
        <v>77</v>
      </c>
      <c r="G9" s="22"/>
      <c r="H9" s="22">
        <v>32</v>
      </c>
      <c r="I9" s="22"/>
      <c r="J9" s="22">
        <v>45</v>
      </c>
      <c r="K9" s="22">
        <v>52</v>
      </c>
      <c r="L9" s="22"/>
      <c r="M9" s="22"/>
      <c r="N9" s="22">
        <v>61</v>
      </c>
      <c r="O9" s="22">
        <v>61</v>
      </c>
      <c r="P9" s="22"/>
      <c r="Q9" s="22"/>
      <c r="R9" s="22"/>
      <c r="S9" s="20">
        <f t="shared" si="1"/>
        <v>1709199.23</v>
      </c>
      <c r="T9" s="100">
        <f t="shared" si="2"/>
        <v>56.949768429049328</v>
      </c>
      <c r="U9" s="22"/>
      <c r="V9" s="22"/>
      <c r="W9" s="22"/>
      <c r="X9" s="23"/>
      <c r="Y9" s="20">
        <f t="shared" si="3"/>
        <v>1709199.23</v>
      </c>
      <c r="Z9" s="25">
        <f t="shared" si="0"/>
        <v>51.143770253893685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100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>
        <v>21</v>
      </c>
      <c r="I11" s="22"/>
      <c r="J11" s="22">
        <v>20</v>
      </c>
      <c r="K11" s="22">
        <v>13</v>
      </c>
      <c r="L11" s="22"/>
      <c r="M11" s="22"/>
      <c r="N11" s="22"/>
      <c r="O11" s="22"/>
      <c r="P11" s="22"/>
      <c r="Q11" s="22"/>
      <c r="R11" s="22"/>
      <c r="S11" s="20">
        <f t="shared" si="1"/>
        <v>163857.62</v>
      </c>
      <c r="T11" s="100">
        <f t="shared" si="2"/>
        <v>5.4596640055443748</v>
      </c>
      <c r="U11" s="22"/>
      <c r="V11" s="22"/>
      <c r="W11" s="22"/>
      <c r="X11" s="23"/>
      <c r="Y11" s="20">
        <f t="shared" si="3"/>
        <v>163857.62</v>
      </c>
      <c r="Z11" s="25">
        <f t="shared" si="0"/>
        <v>4.9030542048803838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100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100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100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>
        <v>100</v>
      </c>
      <c r="E15" s="22"/>
      <c r="F15" s="22"/>
      <c r="G15" s="22">
        <v>50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92789.5</v>
      </c>
      <c r="T15" s="100">
        <f t="shared" si="2"/>
        <v>3.0917054284229186</v>
      </c>
      <c r="U15" s="22"/>
      <c r="V15" s="33"/>
      <c r="W15" s="33"/>
      <c r="X15" s="23"/>
      <c r="Y15" s="20">
        <f t="shared" si="3"/>
        <v>92789.5</v>
      </c>
      <c r="Z15" s="25">
        <f t="shared" si="0"/>
        <v>2.7765077275243497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50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32538.5</v>
      </c>
      <c r="T16" s="100">
        <f t="shared" si="2"/>
        <v>1.084168543668617</v>
      </c>
      <c r="U16" s="22"/>
      <c r="V16" s="33"/>
      <c r="W16" s="33"/>
      <c r="X16" s="23"/>
      <c r="Y16" s="20">
        <f t="shared" si="3"/>
        <v>32538.5</v>
      </c>
      <c r="Z16" s="25">
        <f t="shared" si="0"/>
        <v>0.97363814539415605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4</v>
      </c>
      <c r="G17" s="22"/>
      <c r="H17" s="22"/>
      <c r="I17" s="22"/>
      <c r="J17" s="22"/>
      <c r="K17" s="22">
        <v>1</v>
      </c>
      <c r="L17" s="22"/>
      <c r="M17" s="22"/>
      <c r="N17" s="22"/>
      <c r="O17" s="22"/>
      <c r="P17" s="22"/>
      <c r="Q17" s="22"/>
      <c r="R17" s="22"/>
      <c r="S17" s="20">
        <f t="shared" si="1"/>
        <v>25927.03</v>
      </c>
      <c r="T17" s="100">
        <f t="shared" si="2"/>
        <v>0.86387726406418686</v>
      </c>
      <c r="U17" s="33"/>
      <c r="V17" s="22">
        <v>100</v>
      </c>
      <c r="W17" s="22"/>
      <c r="X17" s="23"/>
      <c r="Y17" s="20">
        <f t="shared" si="3"/>
        <v>30269.03</v>
      </c>
      <c r="Z17" s="25">
        <f t="shared" si="0"/>
        <v>0.90572958901240297</v>
      </c>
    </row>
    <row r="18" spans="1:27" x14ac:dyDescent="0.25">
      <c r="A18" s="35" t="s">
        <v>38</v>
      </c>
      <c r="B18" s="186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100">
        <f t="shared" si="2"/>
        <v>0</v>
      </c>
      <c r="U18" s="33"/>
      <c r="V18" s="22"/>
      <c r="W18" s="22"/>
      <c r="X18" s="23"/>
      <c r="Y18" s="20">
        <f t="shared" si="3"/>
        <v>0</v>
      </c>
      <c r="Z18" s="25">
        <f t="shared" si="0"/>
        <v>0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100">
        <f t="shared" si="2"/>
        <v>0</v>
      </c>
      <c r="U19" s="33">
        <v>3</v>
      </c>
      <c r="V19" s="22"/>
      <c r="W19" s="22"/>
      <c r="X19" s="23"/>
      <c r="Y19" s="20">
        <f t="shared" si="3"/>
        <v>10091.039999999999</v>
      </c>
      <c r="Z19" s="25">
        <f t="shared" si="0"/>
        <v>0.30195065755023259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100">
        <f t="shared" si="2"/>
        <v>0</v>
      </c>
      <c r="U20" s="33">
        <v>23</v>
      </c>
      <c r="V20" s="22"/>
      <c r="W20" s="22"/>
      <c r="X20" s="23"/>
      <c r="Y20" s="20">
        <f t="shared" si="3"/>
        <v>77364.639999999999</v>
      </c>
      <c r="Z20" s="25">
        <f t="shared" si="0"/>
        <v>2.3149550412184503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100">
        <f t="shared" si="2"/>
        <v>0</v>
      </c>
      <c r="U21" s="33"/>
      <c r="V21" s="22"/>
      <c r="W21" s="22"/>
      <c r="X21" s="23"/>
      <c r="Y21" s="20">
        <f t="shared" si="3"/>
        <v>0</v>
      </c>
      <c r="Z21" s="25">
        <f t="shared" si="0"/>
        <v>0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100">
        <f t="shared" si="2"/>
        <v>0</v>
      </c>
      <c r="U22" s="33"/>
      <c r="V22" s="22"/>
      <c r="W22" s="22"/>
      <c r="X22" s="23"/>
      <c r="Y22" s="20">
        <f t="shared" si="3"/>
        <v>0</v>
      </c>
      <c r="Z22" s="25">
        <f t="shared" si="0"/>
        <v>0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100">
        <f t="shared" si="2"/>
        <v>0</v>
      </c>
      <c r="U23" s="33"/>
      <c r="V23" s="22"/>
      <c r="W23" s="22"/>
      <c r="X23" s="23"/>
      <c r="Y23" s="20">
        <f t="shared" si="3"/>
        <v>0</v>
      </c>
      <c r="Z23" s="25">
        <f t="shared" si="0"/>
        <v>0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100">
        <f t="shared" si="2"/>
        <v>0</v>
      </c>
      <c r="U24" s="22">
        <v>25</v>
      </c>
      <c r="V24" s="22"/>
      <c r="W24" s="22"/>
      <c r="X24" s="23"/>
      <c r="Y24" s="20">
        <f t="shared" si="3"/>
        <v>84092</v>
      </c>
      <c r="Z24" s="25">
        <f t="shared" si="0"/>
        <v>2.5162554795852721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100">
        <f t="shared" si="2"/>
        <v>0</v>
      </c>
      <c r="U25" s="22">
        <v>7</v>
      </c>
      <c r="V25" s="22"/>
      <c r="W25" s="22"/>
      <c r="X25" s="23"/>
      <c r="Y25" s="20">
        <f t="shared" si="3"/>
        <v>23545.760000000002</v>
      </c>
      <c r="Z25" s="25">
        <f t="shared" si="0"/>
        <v>0.70455153428387618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>C26/100*$C$31+D26/100*$D$31+E26/100*$E$31+F26/100*$F$31+G26/100*$G$31+H26/100*$H$31+I26/100*$I$31+J26/100*$J$31+K26/100*$K$31+L26/100*$L$31+M26/100*$M$31+N26/100*$N$31+O26/100*$O$31+P26/100*$P$31+Q26/100*$Q$31+R26/100*$R$31</f>
        <v>0</v>
      </c>
      <c r="T26" s="100">
        <f t="shared" si="2"/>
        <v>0</v>
      </c>
      <c r="U26" s="22">
        <v>2</v>
      </c>
      <c r="V26" s="22"/>
      <c r="W26" s="22"/>
      <c r="X26" s="23"/>
      <c r="Y26" s="20">
        <f t="shared" si="3"/>
        <v>6727.3600000000006</v>
      </c>
      <c r="Z26" s="25">
        <f t="shared" si="0"/>
        <v>0.20130043836682177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100">
        <f t="shared" si="2"/>
        <v>0</v>
      </c>
      <c r="U27" s="33">
        <v>40</v>
      </c>
      <c r="V27" s="22"/>
      <c r="W27" s="22"/>
      <c r="X27" s="23"/>
      <c r="Y27" s="20">
        <f t="shared" si="3"/>
        <v>134547.20000000001</v>
      </c>
      <c r="Z27" s="25">
        <f t="shared" si="0"/>
        <v>4.0260087673364362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100">
        <f t="shared" si="2"/>
        <v>0</v>
      </c>
      <c r="U28" s="33"/>
      <c r="V28" s="22"/>
      <c r="W28" s="22"/>
      <c r="X28" s="23"/>
      <c r="Y28" s="20">
        <f t="shared" si="3"/>
        <v>0</v>
      </c>
      <c r="Z28" s="25">
        <f t="shared" si="0"/>
        <v>0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100</v>
      </c>
      <c r="L30" s="44">
        <f t="shared" si="4"/>
        <v>0</v>
      </c>
      <c r="M30" s="44">
        <f t="shared" si="4"/>
        <v>0</v>
      </c>
      <c r="N30" s="44">
        <f t="shared" si="4"/>
        <v>100</v>
      </c>
      <c r="O30" s="44">
        <f t="shared" si="4"/>
        <v>100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3001240</v>
      </c>
      <c r="T30" s="20">
        <f>+SUM(T6:T29)</f>
        <v>99.999999999999986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0</v>
      </c>
      <c r="Y30" s="39">
        <f>SUM(Y6:Y29)</f>
        <v>3341950</v>
      </c>
      <c r="Z30" s="42">
        <f>SUM(Z6:Z29)</f>
        <v>100.00000000000003</v>
      </c>
    </row>
    <row r="31" spans="1:27" ht="15.75" thickBot="1" x14ac:dyDescent="0.3">
      <c r="A31" s="45" t="s">
        <v>51</v>
      </c>
      <c r="B31" s="46" t="s">
        <v>24</v>
      </c>
      <c r="C31" s="47">
        <v>63194</v>
      </c>
      <c r="D31" s="47">
        <v>925</v>
      </c>
      <c r="E31" s="47">
        <v>3868</v>
      </c>
      <c r="F31" s="47">
        <v>624378</v>
      </c>
      <c r="G31" s="47">
        <v>57341</v>
      </c>
      <c r="H31" s="47">
        <v>102939</v>
      </c>
      <c r="I31" s="47">
        <v>0</v>
      </c>
      <c r="J31" s="47">
        <v>649328</v>
      </c>
      <c r="K31" s="47">
        <v>95191</v>
      </c>
      <c r="L31" s="47">
        <v>0</v>
      </c>
      <c r="M31" s="47">
        <v>0</v>
      </c>
      <c r="N31" s="47">
        <v>113412</v>
      </c>
      <c r="O31" s="47">
        <v>1286245</v>
      </c>
      <c r="P31" s="47">
        <v>0</v>
      </c>
      <c r="Q31" s="47">
        <v>4419</v>
      </c>
      <c r="R31" s="47">
        <v>0</v>
      </c>
      <c r="S31" s="48">
        <f>SUM(C31:R31)</f>
        <v>3001240</v>
      </c>
      <c r="T31" s="48">
        <f>S31*100/$S$31</f>
        <v>100</v>
      </c>
      <c r="U31" s="47">
        <v>336368</v>
      </c>
      <c r="V31" s="47">
        <v>4342</v>
      </c>
      <c r="W31" s="47">
        <v>0</v>
      </c>
      <c r="X31" s="47">
        <v>0</v>
      </c>
      <c r="Y31" s="48">
        <f>+S31+U31+V31+W31+X31</f>
        <v>3341950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f>SUM(C32:X32)</f>
        <v>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159</v>
      </c>
      <c r="B43" s="62" t="s">
        <v>98</v>
      </c>
      <c r="C43" s="63">
        <v>3341951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63194</v>
      </c>
      <c r="D45">
        <v>925</v>
      </c>
      <c r="E45">
        <v>3868</v>
      </c>
      <c r="F45">
        <v>624378</v>
      </c>
      <c r="G45">
        <v>57341</v>
      </c>
      <c r="H45">
        <v>102939</v>
      </c>
      <c r="I45">
        <v>0</v>
      </c>
      <c r="J45">
        <v>649328</v>
      </c>
      <c r="K45">
        <v>95191</v>
      </c>
      <c r="L45">
        <v>0</v>
      </c>
      <c r="M45">
        <v>0</v>
      </c>
      <c r="N45">
        <v>113412</v>
      </c>
      <c r="O45">
        <v>1286245</v>
      </c>
      <c r="P45">
        <v>0</v>
      </c>
      <c r="Q45">
        <v>4419</v>
      </c>
      <c r="R45">
        <v>0</v>
      </c>
      <c r="U45">
        <v>336368</v>
      </c>
      <c r="V45">
        <v>4342</v>
      </c>
      <c r="W45">
        <v>0</v>
      </c>
      <c r="X45">
        <v>0</v>
      </c>
      <c r="Y45">
        <f>SUM(C45:X45)</f>
        <v>3341950</v>
      </c>
    </row>
  </sheetData>
  <mergeCells count="3">
    <mergeCell ref="A1:Z2"/>
    <mergeCell ref="S4:T4"/>
    <mergeCell ref="Y4:Z4"/>
  </mergeCells>
  <pageMargins left="0.25" right="0.2" top="0.74803149606299213" bottom="0.74803149606299213" header="0.31496062992125984" footer="0.31496062992125984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45"/>
  <sheetViews>
    <sheetView zoomScale="90" zoomScaleNormal="90" workbookViewId="0">
      <selection activeCell="U30" sqref="U30"/>
    </sheetView>
  </sheetViews>
  <sheetFormatPr defaultRowHeight="15" x14ac:dyDescent="0.25"/>
  <cols>
    <col min="1" max="1" width="33.5703125" customWidth="1"/>
    <col min="2" max="2" width="7" customWidth="1"/>
    <col min="3" max="3" width="7.85546875" customWidth="1"/>
    <col min="4" max="5" width="12.7109375" customWidth="1"/>
    <col min="6" max="6" width="8.5703125" customWidth="1"/>
    <col min="7" max="7" width="9.140625" bestFit="1" customWidth="1"/>
    <col min="8" max="8" width="8.28515625" bestFit="1" customWidth="1"/>
    <col min="9" max="10" width="10.7109375" customWidth="1"/>
    <col min="11" max="11" width="7.28515625" customWidth="1"/>
    <col min="12" max="12" width="6.5703125" customWidth="1"/>
    <col min="13" max="13" width="6.85546875" customWidth="1"/>
    <col min="14" max="14" width="7.85546875" bestFit="1" customWidth="1"/>
    <col min="15" max="15" width="9" customWidth="1"/>
    <col min="16" max="16" width="7" bestFit="1" customWidth="1"/>
    <col min="17" max="17" width="7.28515625" bestFit="1" customWidth="1"/>
    <col min="18" max="18" width="7" bestFit="1" customWidth="1"/>
    <col min="19" max="19" width="9.7109375" customWidth="1"/>
    <col min="20" max="20" width="6.140625" customWidth="1"/>
    <col min="21" max="21" width="10.7109375" bestFit="1" customWidth="1"/>
    <col min="22" max="22" width="11.140625" bestFit="1" customWidth="1"/>
    <col min="23" max="23" width="8.42578125" customWidth="1"/>
    <col min="24" max="24" width="12.85546875" customWidth="1"/>
    <col min="25" max="25" width="10.85546875" customWidth="1"/>
    <col min="26" max="26" width="6.7109375" customWidth="1"/>
    <col min="27" max="27" width="1.85546875" customWidth="1"/>
  </cols>
  <sheetData>
    <row r="1" spans="1:29" ht="15" customHeight="1" x14ac:dyDescent="0.25">
      <c r="A1" s="325" t="s">
        <v>210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36" t="s">
        <v>1</v>
      </c>
      <c r="C4" s="237" t="s">
        <v>2</v>
      </c>
      <c r="D4" s="240" t="s">
        <v>3</v>
      </c>
      <c r="E4" s="240" t="s">
        <v>4</v>
      </c>
      <c r="F4" s="240" t="s">
        <v>102</v>
      </c>
      <c r="G4" s="240" t="s">
        <v>6</v>
      </c>
      <c r="H4" s="240" t="s">
        <v>7</v>
      </c>
      <c r="I4" s="240" t="s">
        <v>101</v>
      </c>
      <c r="J4" s="240" t="s">
        <v>9</v>
      </c>
      <c r="K4" s="240" t="s">
        <v>10</v>
      </c>
      <c r="L4" s="240" t="s">
        <v>11</v>
      </c>
      <c r="M4" s="240" t="s">
        <v>12</v>
      </c>
      <c r="N4" s="240" t="s">
        <v>13</v>
      </c>
      <c r="O4" s="240" t="s">
        <v>14</v>
      </c>
      <c r="P4" s="238" t="s">
        <v>15</v>
      </c>
      <c r="Q4" s="238" t="s">
        <v>16</v>
      </c>
      <c r="R4" s="239" t="s">
        <v>17</v>
      </c>
      <c r="S4" s="327" t="s">
        <v>18</v>
      </c>
      <c r="T4" s="328"/>
      <c r="U4" s="208" t="s">
        <v>19</v>
      </c>
      <c r="V4" s="209" t="s">
        <v>20</v>
      </c>
      <c r="W4" s="7" t="s">
        <v>21</v>
      </c>
      <c r="X4" s="7" t="s">
        <v>22</v>
      </c>
      <c r="Y4" s="329" t="s">
        <v>23</v>
      </c>
      <c r="Z4" s="330"/>
      <c r="AA4" s="205"/>
      <c r="AB4" s="205"/>
      <c r="AC4" s="205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6" t="s">
        <v>25</v>
      </c>
      <c r="U5" s="206" t="s">
        <v>25</v>
      </c>
      <c r="V5" s="206" t="s">
        <v>25</v>
      </c>
      <c r="W5" s="206" t="s">
        <v>25</v>
      </c>
      <c r="X5" s="206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9">
        <v>15</v>
      </c>
      <c r="G6" s="19"/>
      <c r="H6" s="19">
        <v>15</v>
      </c>
      <c r="I6" s="19"/>
      <c r="J6" s="19">
        <v>8</v>
      </c>
      <c r="K6" s="19"/>
      <c r="L6" s="19"/>
      <c r="M6" s="19"/>
      <c r="N6" s="19"/>
      <c r="O6" s="19"/>
      <c r="P6" s="19"/>
      <c r="Q6" s="19">
        <v>15</v>
      </c>
      <c r="R6" s="19">
        <v>25</v>
      </c>
      <c r="S6" s="24">
        <f>C6/100*$C$31+D6/100*$D$31+E6/100*$E$31+F6/100*$F$31+G6/100*$G$31+H6/100*$H$31+I6/100*$I$31+J6/100*$J$31+K6/100*$K$31+L6/100*$L$31+M6/100*$M$31+N6/100*$N$31+O6/100*$O$31+P6/100*$P$31+Q6/100*$Q$31+R6/100*$R$31</f>
        <v>169993.91</v>
      </c>
      <c r="T6" s="140">
        <f>S6*100/$S$31</f>
        <v>7.9863714735383242</v>
      </c>
      <c r="U6" s="22"/>
      <c r="V6" s="22"/>
      <c r="W6" s="22"/>
      <c r="X6" s="23"/>
      <c r="Y6" s="20">
        <f>U6/100*$U$31+V6/100*$V$31+W6/100*$W$31+X6/100*$X$31+S6</f>
        <v>169993.91</v>
      </c>
      <c r="Z6" s="25">
        <f t="shared" ref="Z6:Z29" si="0">Y6*100/$Y$31</f>
        <v>4.2035103536169043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22">
        <v>40</v>
      </c>
      <c r="G7" s="22"/>
      <c r="H7" s="22">
        <v>40</v>
      </c>
      <c r="I7" s="22"/>
      <c r="J7" s="22">
        <v>23</v>
      </c>
      <c r="K7" s="22"/>
      <c r="L7" s="22"/>
      <c r="M7" s="22"/>
      <c r="N7" s="22"/>
      <c r="O7" s="22"/>
      <c r="P7" s="22"/>
      <c r="Q7" s="22">
        <v>40</v>
      </c>
      <c r="R7" s="22">
        <v>38</v>
      </c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482079.93</v>
      </c>
      <c r="T7" s="21">
        <f t="shared" ref="T7:T29" si="2">S7*100/$S$31</f>
        <v>22.648278405487304</v>
      </c>
      <c r="U7" s="22"/>
      <c r="V7" s="22"/>
      <c r="W7" s="22"/>
      <c r="X7" s="23">
        <v>70</v>
      </c>
      <c r="Y7" s="20">
        <f t="shared" ref="Y7:Y29" si="3">U7/100*$U$31+V7/100*$V$31+W7/100*$W$31+X7/100*$X$31+S7</f>
        <v>555516.92999999993</v>
      </c>
      <c r="Z7" s="25">
        <f t="shared" si="0"/>
        <v>13.736498953782972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22">
        <v>22</v>
      </c>
      <c r="G8" s="22"/>
      <c r="H8" s="22">
        <v>22</v>
      </c>
      <c r="I8" s="22"/>
      <c r="J8" s="22">
        <v>32</v>
      </c>
      <c r="K8" s="22"/>
      <c r="L8" s="22"/>
      <c r="M8" s="22"/>
      <c r="N8" s="22"/>
      <c r="O8" s="22"/>
      <c r="P8" s="22"/>
      <c r="Q8" s="22">
        <v>22</v>
      </c>
      <c r="R8" s="22">
        <v>20</v>
      </c>
      <c r="S8" s="20">
        <f t="shared" si="1"/>
        <v>626692.92000000004</v>
      </c>
      <c r="T8" s="21">
        <f t="shared" si="2"/>
        <v>29.442245660191215</v>
      </c>
      <c r="U8" s="22"/>
      <c r="V8" s="22"/>
      <c r="W8" s="22"/>
      <c r="X8" s="23"/>
      <c r="Y8" s="20">
        <f t="shared" si="3"/>
        <v>626692.92000000004</v>
      </c>
      <c r="Z8" s="25">
        <f t="shared" si="0"/>
        <v>15.496497361337299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22">
        <v>3</v>
      </c>
      <c r="G9" s="22"/>
      <c r="H9" s="22">
        <v>3</v>
      </c>
      <c r="I9" s="22"/>
      <c r="J9" s="22">
        <v>5</v>
      </c>
      <c r="K9" s="22"/>
      <c r="L9" s="22"/>
      <c r="M9" s="22"/>
      <c r="N9" s="22"/>
      <c r="O9" s="22"/>
      <c r="P9" s="22"/>
      <c r="Q9" s="22">
        <v>3</v>
      </c>
      <c r="R9" s="22">
        <v>2</v>
      </c>
      <c r="S9" s="20">
        <f t="shared" si="1"/>
        <v>97290.35</v>
      </c>
      <c r="T9" s="21">
        <f t="shared" si="2"/>
        <v>4.5707335979892418</v>
      </c>
      <c r="U9" s="22"/>
      <c r="V9" s="22"/>
      <c r="W9" s="22"/>
      <c r="X9" s="23"/>
      <c r="Y9" s="20">
        <f t="shared" si="3"/>
        <v>97290.35</v>
      </c>
      <c r="Z9" s="25">
        <f t="shared" si="0"/>
        <v>2.4057390851943601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22">
        <v>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0">
        <f t="shared" si="1"/>
        <v>1283.32</v>
      </c>
      <c r="T13" s="21">
        <f t="shared" si="2"/>
        <v>6.0290808296727817E-2</v>
      </c>
      <c r="U13" s="22"/>
      <c r="V13" s="22"/>
      <c r="W13" s="22"/>
      <c r="X13" s="23"/>
      <c r="Y13" s="20">
        <f t="shared" si="3"/>
        <v>1283.32</v>
      </c>
      <c r="Z13" s="25">
        <f t="shared" si="0"/>
        <v>3.173318918897533E-2</v>
      </c>
    </row>
    <row r="14" spans="1:29" x14ac:dyDescent="0.25">
      <c r="A14" s="29" t="s">
        <v>34</v>
      </c>
      <c r="B14" s="30" t="s">
        <v>25</v>
      </c>
      <c r="C14" s="22">
        <v>100</v>
      </c>
      <c r="D14" s="22"/>
      <c r="E14" s="22"/>
      <c r="F14" s="22"/>
      <c r="G14" s="22"/>
      <c r="H14" s="22"/>
      <c r="I14" s="22"/>
      <c r="J14" s="22">
        <v>24</v>
      </c>
      <c r="K14" s="22"/>
      <c r="L14" s="22"/>
      <c r="M14" s="22"/>
      <c r="N14" s="22"/>
      <c r="O14" s="22"/>
      <c r="P14" s="22"/>
      <c r="Q14" s="22"/>
      <c r="R14" s="22"/>
      <c r="S14" s="20">
        <f t="shared" si="1"/>
        <v>470884.68</v>
      </c>
      <c r="T14" s="21">
        <f t="shared" si="2"/>
        <v>22.122321768339951</v>
      </c>
      <c r="U14" s="22"/>
      <c r="V14" s="22"/>
      <c r="W14" s="22"/>
      <c r="X14" s="23"/>
      <c r="Y14" s="20">
        <f t="shared" si="3"/>
        <v>470884.68</v>
      </c>
      <c r="Z14" s="25">
        <f t="shared" si="0"/>
        <v>11.643761989706471</v>
      </c>
    </row>
    <row r="15" spans="1:29" x14ac:dyDescent="0.25">
      <c r="A15" s="31" t="s">
        <v>35</v>
      </c>
      <c r="B15" s="18" t="s">
        <v>25</v>
      </c>
      <c r="C15" s="3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0">
        <f t="shared" si="1"/>
        <v>0</v>
      </c>
      <c r="T15" s="21">
        <f t="shared" si="2"/>
        <v>0</v>
      </c>
      <c r="U15" s="22"/>
      <c r="V15" s="33"/>
      <c r="W15" s="33"/>
      <c r="X15" s="23"/>
      <c r="Y15" s="20">
        <f t="shared" si="3"/>
        <v>0</v>
      </c>
      <c r="Z15" s="25">
        <f t="shared" si="0"/>
        <v>0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22"/>
      <c r="G16" s="22">
        <v>100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0">
        <f t="shared" si="1"/>
        <v>106311</v>
      </c>
      <c r="T16" s="21">
        <f t="shared" si="2"/>
        <v>4.9945267905381598</v>
      </c>
      <c r="U16" s="22"/>
      <c r="V16" s="33"/>
      <c r="W16" s="33"/>
      <c r="X16" s="23"/>
      <c r="Y16" s="20">
        <f t="shared" si="3"/>
        <v>106311</v>
      </c>
      <c r="Z16" s="25">
        <f t="shared" si="0"/>
        <v>2.6287964621989497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22">
        <v>18</v>
      </c>
      <c r="G17" s="22"/>
      <c r="H17" s="22">
        <v>20</v>
      </c>
      <c r="I17" s="22"/>
      <c r="J17" s="22">
        <v>8</v>
      </c>
      <c r="K17" s="22"/>
      <c r="L17" s="22"/>
      <c r="M17" s="22"/>
      <c r="N17" s="22"/>
      <c r="O17" s="22"/>
      <c r="P17" s="22"/>
      <c r="Q17" s="22">
        <v>20</v>
      </c>
      <c r="R17" s="22">
        <v>15</v>
      </c>
      <c r="S17" s="20">
        <f t="shared" si="1"/>
        <v>174013.88999999998</v>
      </c>
      <c r="T17" s="21">
        <f t="shared" si="2"/>
        <v>8.1752314956190837</v>
      </c>
      <c r="U17" s="33">
        <v>1</v>
      </c>
      <c r="V17" s="22">
        <v>100</v>
      </c>
      <c r="W17" s="22"/>
      <c r="X17" s="23">
        <v>30</v>
      </c>
      <c r="Y17" s="20">
        <f t="shared" si="3"/>
        <v>296221.61</v>
      </c>
      <c r="Z17" s="25">
        <f t="shared" si="0"/>
        <v>7.324795368258008</v>
      </c>
    </row>
    <row r="18" spans="1:27" x14ac:dyDescent="0.25">
      <c r="A18" s="35" t="s">
        <v>38</v>
      </c>
      <c r="B18" s="210" t="s">
        <v>25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2</v>
      </c>
      <c r="V18" s="22"/>
      <c r="W18" s="22"/>
      <c r="X18" s="23"/>
      <c r="Y18" s="20">
        <f t="shared" si="3"/>
        <v>34745.440000000002</v>
      </c>
      <c r="Z18" s="25">
        <f t="shared" si="0"/>
        <v>0.8591649946811325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5</v>
      </c>
      <c r="V19" s="22"/>
      <c r="W19" s="22"/>
      <c r="X19" s="23"/>
      <c r="Y19" s="20">
        <f t="shared" si="3"/>
        <v>86863.6</v>
      </c>
      <c r="Z19" s="25">
        <f t="shared" si="0"/>
        <v>2.1479124867028312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9</v>
      </c>
      <c r="V20" s="22"/>
      <c r="W20" s="22"/>
      <c r="X20" s="23"/>
      <c r="Y20" s="20">
        <f t="shared" si="3"/>
        <v>156354.47999999998</v>
      </c>
      <c r="Z20" s="25">
        <f t="shared" si="0"/>
        <v>3.866242476065096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8</v>
      </c>
      <c r="V21" s="22"/>
      <c r="W21" s="22"/>
      <c r="X21" s="23"/>
      <c r="Y21" s="20">
        <f t="shared" si="3"/>
        <v>138981.76000000001</v>
      </c>
      <c r="Z21" s="25">
        <f t="shared" si="0"/>
        <v>3.43665997872453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>C22/100*$C$31+D22/100*$D$31+E22/100*$E$31+F22/100*$F$31+G22/100*$G$31+H22/100*$H$31+I22/100*$I$31+J22/100*$J$31+K22/100*$K$31+L22/100*$L$31+M22/100*$M$31+N22/100*$N$31+O22/100*$O$31+P22/100*$P$31+Q22/100*$Q$31+R22/100*$R$31</f>
        <v>0</v>
      </c>
      <c r="T22" s="21">
        <f t="shared" si="2"/>
        <v>0</v>
      </c>
      <c r="U22" s="33">
        <v>34</v>
      </c>
      <c r="V22" s="22"/>
      <c r="W22" s="22"/>
      <c r="X22" s="23"/>
      <c r="Y22" s="20">
        <f t="shared" si="3"/>
        <v>590672.4800000001</v>
      </c>
      <c r="Z22" s="25">
        <f t="shared" si="0"/>
        <v>14.605804909579255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18</v>
      </c>
      <c r="V23" s="22"/>
      <c r="W23" s="22"/>
      <c r="X23" s="23"/>
      <c r="Y23" s="20">
        <f t="shared" si="3"/>
        <v>312708.95999999996</v>
      </c>
      <c r="Z23" s="25">
        <f t="shared" si="0"/>
        <v>7.7324849521301919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22">
        <v>1</v>
      </c>
      <c r="V24" s="22"/>
      <c r="W24" s="22"/>
      <c r="X24" s="23"/>
      <c r="Y24" s="20">
        <f t="shared" si="3"/>
        <v>17372.72</v>
      </c>
      <c r="Z24" s="25">
        <f t="shared" si="0"/>
        <v>0.42958249734056625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8</v>
      </c>
      <c r="V25" s="22"/>
      <c r="W25" s="22"/>
      <c r="X25" s="23"/>
      <c r="Y25" s="20">
        <f t="shared" si="3"/>
        <v>138981.76000000001</v>
      </c>
      <c r="Z25" s="25">
        <f t="shared" si="0"/>
        <v>3.43665997872453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22"/>
      <c r="V26" s="22"/>
      <c r="W26" s="22"/>
      <c r="X26" s="23"/>
      <c r="Y26" s="20">
        <f t="shared" si="3"/>
        <v>0</v>
      </c>
      <c r="Z26" s="25">
        <f t="shared" si="0"/>
        <v>0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11</v>
      </c>
      <c r="V27" s="22"/>
      <c r="W27" s="22"/>
      <c r="X27" s="23"/>
      <c r="Y27" s="20">
        <f t="shared" si="3"/>
        <v>191099.92</v>
      </c>
      <c r="Z27" s="25">
        <f t="shared" si="0"/>
        <v>4.7254074707462292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3</v>
      </c>
      <c r="V28" s="22"/>
      <c r="W28" s="22"/>
      <c r="X28" s="23"/>
      <c r="Y28" s="20">
        <f t="shared" si="3"/>
        <v>52118.159999999996</v>
      </c>
      <c r="Z28" s="25">
        <f t="shared" si="0"/>
        <v>1.2887474920216988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>
        <v>0</v>
      </c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0</v>
      </c>
      <c r="E30" s="44">
        <f t="shared" si="4"/>
        <v>100</v>
      </c>
      <c r="F30" s="44">
        <f t="shared" si="4"/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0</v>
      </c>
      <c r="L30" s="44">
        <f t="shared" si="4"/>
        <v>0</v>
      </c>
      <c r="M30" s="44">
        <f t="shared" si="4"/>
        <v>0</v>
      </c>
      <c r="N30" s="44">
        <f t="shared" si="4"/>
        <v>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100</v>
      </c>
      <c r="S30" s="20">
        <f>+SUM(S6:S29)</f>
        <v>2128550</v>
      </c>
      <c r="T30" s="20">
        <f>+SUM(T6:T29)</f>
        <v>100</v>
      </c>
      <c r="U30" s="44">
        <f>SUM(U6:U29)</f>
        <v>100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4044094</v>
      </c>
      <c r="Z30" s="42">
        <f>SUM(Z6:Z29)</f>
        <v>100</v>
      </c>
    </row>
    <row r="31" spans="1:27" ht="15.75" thickBot="1" x14ac:dyDescent="0.3">
      <c r="A31" s="45" t="s">
        <v>51</v>
      </c>
      <c r="B31" s="46" t="s">
        <v>24</v>
      </c>
      <c r="C31" s="47">
        <v>22359</v>
      </c>
      <c r="D31" s="47">
        <v>0</v>
      </c>
      <c r="E31" s="47">
        <v>6043</v>
      </c>
      <c r="F31" s="47">
        <v>64166</v>
      </c>
      <c r="G31" s="47">
        <v>100268</v>
      </c>
      <c r="H31" s="47">
        <v>50834</v>
      </c>
      <c r="I31" s="47">
        <v>0</v>
      </c>
      <c r="J31" s="47">
        <v>1868857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7704</v>
      </c>
      <c r="R31" s="47">
        <v>8319</v>
      </c>
      <c r="S31" s="48">
        <f>SUM(C31:R31)</f>
        <v>2128550</v>
      </c>
      <c r="T31" s="48">
        <f>S31*100/$S$31</f>
        <v>100</v>
      </c>
      <c r="U31" s="47">
        <v>1737272</v>
      </c>
      <c r="V31" s="47">
        <v>73362</v>
      </c>
      <c r="W31" s="47">
        <v>0</v>
      </c>
      <c r="X31" s="47">
        <v>104910</v>
      </c>
      <c r="Y31" s="48">
        <f>+S31+U31+V31+W31+X31</f>
        <v>4044094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v>111460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 t="s">
        <v>211</v>
      </c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 t="s">
        <v>162</v>
      </c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212</v>
      </c>
      <c r="B43" t="s">
        <v>98</v>
      </c>
      <c r="C43" s="63">
        <v>4044093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5"/>
      <c r="C45">
        <v>22359</v>
      </c>
      <c r="D45">
        <v>0</v>
      </c>
      <c r="E45">
        <v>6043</v>
      </c>
      <c r="F45">
        <v>64166</v>
      </c>
      <c r="G45">
        <v>100268</v>
      </c>
      <c r="H45">
        <v>50834</v>
      </c>
      <c r="I45">
        <v>0</v>
      </c>
      <c r="J45">
        <v>1868857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7704</v>
      </c>
      <c r="R45">
        <v>8319</v>
      </c>
      <c r="U45">
        <v>1737272</v>
      </c>
      <c r="V45">
        <v>73362</v>
      </c>
      <c r="W45">
        <v>0</v>
      </c>
      <c r="X45">
        <v>104910</v>
      </c>
      <c r="Y45">
        <f>SUM(C45:X45)</f>
        <v>4044094</v>
      </c>
    </row>
  </sheetData>
  <mergeCells count="3">
    <mergeCell ref="A1:Z2"/>
    <mergeCell ref="S4:T4"/>
    <mergeCell ref="Y4:Z4"/>
  </mergeCells>
  <pageMargins left="0.26" right="0.32" top="0.74803149606299213" bottom="0.74803149606299213" header="0.31496062992125984" footer="0.31496062992125984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48"/>
  <sheetViews>
    <sheetView zoomScale="90" zoomScaleNormal="90" workbookViewId="0">
      <selection activeCell="U30" sqref="U30"/>
    </sheetView>
  </sheetViews>
  <sheetFormatPr defaultRowHeight="15" x14ac:dyDescent="0.25"/>
  <cols>
    <col min="1" max="1" width="33.42578125" customWidth="1"/>
    <col min="2" max="2" width="7.28515625" customWidth="1"/>
    <col min="3" max="3" width="8.140625" customWidth="1"/>
    <col min="4" max="4" width="12.85546875" customWidth="1"/>
    <col min="5" max="5" width="12.7109375" customWidth="1"/>
    <col min="6" max="6" width="9.85546875" customWidth="1"/>
    <col min="7" max="7" width="8.140625" bestFit="1" customWidth="1"/>
    <col min="8" max="8" width="9.140625" bestFit="1" customWidth="1"/>
    <col min="9" max="9" width="11.5703125" customWidth="1"/>
    <col min="10" max="11" width="9.140625" bestFit="1" customWidth="1"/>
    <col min="12" max="12" width="6.7109375" customWidth="1"/>
    <col min="13" max="13" width="5.7109375" bestFit="1" customWidth="1"/>
    <col min="14" max="14" width="7.85546875" bestFit="1" customWidth="1"/>
    <col min="15" max="15" width="9.42578125" customWidth="1"/>
    <col min="16" max="16" width="7" bestFit="1" customWidth="1"/>
    <col min="17" max="17" width="7.28515625" bestFit="1" customWidth="1"/>
    <col min="18" max="18" width="6.42578125" bestFit="1" customWidth="1"/>
    <col min="19" max="19" width="10.85546875" customWidth="1"/>
    <col min="20" max="20" width="7" customWidth="1"/>
    <col min="21" max="21" width="9.7109375" customWidth="1"/>
    <col min="22" max="22" width="10.85546875" customWidth="1"/>
    <col min="23" max="23" width="9.28515625" bestFit="1" customWidth="1"/>
    <col min="24" max="24" width="12.5703125" customWidth="1"/>
    <col min="25" max="25" width="9.85546875" customWidth="1"/>
    <col min="26" max="26" width="6.42578125" customWidth="1"/>
    <col min="27" max="27" width="1.85546875" customWidth="1"/>
  </cols>
  <sheetData>
    <row r="1" spans="1:29" ht="15" customHeight="1" x14ac:dyDescent="0.25">
      <c r="A1" s="325" t="s">
        <v>108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1"/>
      <c r="AB1" s="1"/>
      <c r="AC1" s="1"/>
    </row>
    <row r="2" spans="1:29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1"/>
      <c r="AB2" s="1"/>
      <c r="AC2" s="1"/>
    </row>
    <row r="3" spans="1:29" ht="19.5" thickBot="1" x14ac:dyDescent="0.35">
      <c r="A3" s="30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</row>
    <row r="4" spans="1:29" ht="30.75" thickTop="1" x14ac:dyDescent="0.25">
      <c r="A4" s="3" t="s">
        <v>0</v>
      </c>
      <c r="B4" s="202" t="s">
        <v>1</v>
      </c>
      <c r="C4" s="202" t="s">
        <v>2</v>
      </c>
      <c r="D4" s="5" t="s">
        <v>3</v>
      </c>
      <c r="E4" s="5" t="s">
        <v>4</v>
      </c>
      <c r="F4" s="5" t="s">
        <v>102</v>
      </c>
      <c r="G4" s="5" t="s">
        <v>6</v>
      </c>
      <c r="H4" s="5" t="s">
        <v>7</v>
      </c>
      <c r="I4" s="5" t="s">
        <v>101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203" t="s">
        <v>15</v>
      </c>
      <c r="Q4" s="203" t="s">
        <v>16</v>
      </c>
      <c r="R4" s="203" t="s">
        <v>17</v>
      </c>
      <c r="S4" s="327" t="s">
        <v>18</v>
      </c>
      <c r="T4" s="328"/>
      <c r="U4" s="202" t="s">
        <v>19</v>
      </c>
      <c r="V4" s="203" t="s">
        <v>20</v>
      </c>
      <c r="W4" s="7" t="s">
        <v>21</v>
      </c>
      <c r="X4" s="7" t="s">
        <v>22</v>
      </c>
      <c r="Y4" s="329" t="s">
        <v>23</v>
      </c>
      <c r="Z4" s="330"/>
      <c r="AA4" s="199"/>
      <c r="AB4" s="199"/>
      <c r="AC4" s="199"/>
    </row>
    <row r="5" spans="1:29" x14ac:dyDescent="0.25">
      <c r="A5" s="9"/>
      <c r="B5" s="10"/>
      <c r="C5" s="11"/>
      <c r="D5" s="12"/>
      <c r="E5" s="12"/>
      <c r="F5" s="12"/>
      <c r="G5" s="12"/>
      <c r="H5" s="13"/>
      <c r="I5" s="12"/>
      <c r="J5" s="13"/>
      <c r="K5" s="12"/>
      <c r="L5" s="12"/>
      <c r="M5" s="12"/>
      <c r="N5" s="13"/>
      <c r="O5" s="12"/>
      <c r="P5" s="12"/>
      <c r="Q5" s="12"/>
      <c r="R5" s="12"/>
      <c r="S5" s="14" t="s">
        <v>24</v>
      </c>
      <c r="T5" s="200" t="s">
        <v>25</v>
      </c>
      <c r="U5" s="200" t="s">
        <v>25</v>
      </c>
      <c r="V5" s="200" t="s">
        <v>25</v>
      </c>
      <c r="W5" s="200" t="s">
        <v>25</v>
      </c>
      <c r="X5" s="200" t="s">
        <v>25</v>
      </c>
      <c r="Y5" s="16" t="s">
        <v>24</v>
      </c>
      <c r="Z5" s="17" t="s">
        <v>25</v>
      </c>
    </row>
    <row r="6" spans="1:29" x14ac:dyDescent="0.25">
      <c r="A6" s="3" t="s">
        <v>26</v>
      </c>
      <c r="B6" s="18" t="s">
        <v>25</v>
      </c>
      <c r="C6" s="19"/>
      <c r="D6" s="19"/>
      <c r="E6" s="19"/>
      <c r="F6" s="133">
        <v>5</v>
      </c>
      <c r="G6" s="19"/>
      <c r="H6" s="133">
        <v>5</v>
      </c>
      <c r="I6" s="19"/>
      <c r="J6" s="133">
        <v>5</v>
      </c>
      <c r="K6" s="133">
        <v>6.0642185</v>
      </c>
      <c r="L6" s="19"/>
      <c r="M6" s="19"/>
      <c r="N6" s="19">
        <v>30</v>
      </c>
      <c r="O6" s="19"/>
      <c r="P6" s="19"/>
      <c r="Q6" s="19">
        <v>10</v>
      </c>
      <c r="R6" s="19"/>
      <c r="S6" s="20">
        <f>C6/100*$C$31+D6/100*$D$31+E6/100*$E$31+F6/100*$F$31+G6/100*$G$31+H6/100*$H$31+I6/100*$I$31+J6/100*$J$31+K6/100*$K$31+L6/100*$L$31+M6/100*$M$31+N6/100*$N$31+O6/100*$O$31+P6/100*$P$31+Q6/100*$Q$31+R6/100*$R$31</f>
        <v>58648.931320679992</v>
      </c>
      <c r="T6" s="21">
        <f>S6*100/$S$31</f>
        <v>4.9890588601158088</v>
      </c>
      <c r="U6" s="22"/>
      <c r="V6" s="22"/>
      <c r="W6" s="22"/>
      <c r="X6" s="23"/>
      <c r="Y6" s="20">
        <f>U6/100*$U$31+V6/100*$V$31+W6/100*$W$31+X6/100*$X$31+S6</f>
        <v>58648.931320679992</v>
      </c>
      <c r="Z6" s="25">
        <f t="shared" ref="Z6:Z29" si="0">Y6*100/$Y$31</f>
        <v>3.3449337628698168</v>
      </c>
    </row>
    <row r="7" spans="1:29" x14ac:dyDescent="0.25">
      <c r="A7" s="26" t="s">
        <v>27</v>
      </c>
      <c r="B7" s="18" t="s">
        <v>25</v>
      </c>
      <c r="C7" s="22"/>
      <c r="D7" s="22"/>
      <c r="E7" s="22"/>
      <c r="F7" s="134">
        <v>41</v>
      </c>
      <c r="G7" s="22"/>
      <c r="H7" s="134">
        <v>41</v>
      </c>
      <c r="I7" s="22"/>
      <c r="J7" s="134">
        <v>40</v>
      </c>
      <c r="K7" s="134">
        <v>36.076327522489869</v>
      </c>
      <c r="L7" s="22"/>
      <c r="M7" s="22"/>
      <c r="N7" s="22"/>
      <c r="O7" s="22"/>
      <c r="P7" s="22"/>
      <c r="Q7" s="22"/>
      <c r="R7" s="22"/>
      <c r="S7" s="20">
        <f t="shared" ref="S7:S29" si="1">C7/100*$C$31+D7/100*$D$31+E7/100*$E$31+F7/100*$F$31+G7/100*$G$31+H7/100*$H$31+I7/100*$I$31+J7/100*$J$31+K7/100*$K$31+L7/100*$L$31+M7/100*$M$31+N7/100*$N$31+O7/100*$O$31+P7/100*$P$31+Q7/100*$Q$31+R7/100*$R$31</f>
        <v>438908.4858651908</v>
      </c>
      <c r="T7" s="21">
        <f t="shared" ref="T7:T29" si="2">S7*100/$S$31</f>
        <v>37.33640529974376</v>
      </c>
      <c r="U7" s="33"/>
      <c r="V7" s="22"/>
      <c r="W7" s="22"/>
      <c r="X7" s="23"/>
      <c r="Y7" s="20">
        <f t="shared" ref="Y7:Y29" si="3">U7/100*$U$31+V7/100*$V$31+W7/100*$W$31+X7/100*$X$31+S7</f>
        <v>438908.4858651908</v>
      </c>
      <c r="Z7" s="25">
        <f t="shared" si="0"/>
        <v>25.032336994397678</v>
      </c>
    </row>
    <row r="8" spans="1:29" x14ac:dyDescent="0.25">
      <c r="A8" s="3" t="s">
        <v>28</v>
      </c>
      <c r="B8" s="27" t="s">
        <v>25</v>
      </c>
      <c r="C8" s="22"/>
      <c r="D8" s="22"/>
      <c r="E8" s="22"/>
      <c r="F8" s="134">
        <v>27</v>
      </c>
      <c r="G8" s="22"/>
      <c r="H8" s="134">
        <v>27</v>
      </c>
      <c r="I8" s="22"/>
      <c r="J8" s="134">
        <v>29</v>
      </c>
      <c r="K8" s="134">
        <v>35.271222033027023</v>
      </c>
      <c r="L8" s="22"/>
      <c r="M8" s="22"/>
      <c r="N8" s="22"/>
      <c r="O8" s="22"/>
      <c r="P8" s="22"/>
      <c r="Q8" s="22"/>
      <c r="R8" s="22"/>
      <c r="S8" s="20">
        <f t="shared" si="1"/>
        <v>335381.96629104146</v>
      </c>
      <c r="T8" s="21">
        <f t="shared" si="2"/>
        <v>28.529767427448188</v>
      </c>
      <c r="U8" s="33">
        <v>6.9646590922160163</v>
      </c>
      <c r="V8" s="22"/>
      <c r="W8" s="22"/>
      <c r="X8" s="23"/>
      <c r="Y8" s="20">
        <f t="shared" si="3"/>
        <v>369585.75532586896</v>
      </c>
      <c r="Z8" s="25">
        <f t="shared" si="0"/>
        <v>21.078642754899374</v>
      </c>
    </row>
    <row r="9" spans="1:29" x14ac:dyDescent="0.25">
      <c r="A9" s="3" t="s">
        <v>29</v>
      </c>
      <c r="B9" s="27" t="s">
        <v>25</v>
      </c>
      <c r="C9" s="22"/>
      <c r="D9" s="22"/>
      <c r="E9" s="22"/>
      <c r="F9" s="134">
        <v>14</v>
      </c>
      <c r="G9" s="22"/>
      <c r="H9" s="134">
        <v>14</v>
      </c>
      <c r="I9" s="22"/>
      <c r="J9" s="134">
        <v>16</v>
      </c>
      <c r="K9" s="134">
        <v>21.639282053198894</v>
      </c>
      <c r="L9" s="22"/>
      <c r="M9" s="22"/>
      <c r="N9" s="22"/>
      <c r="O9" s="22"/>
      <c r="P9" s="22"/>
      <c r="Q9" s="22"/>
      <c r="R9" s="22"/>
      <c r="S9" s="20">
        <f t="shared" si="1"/>
        <v>188829.5314135768</v>
      </c>
      <c r="T9" s="21">
        <f t="shared" si="2"/>
        <v>16.063065865587863</v>
      </c>
      <c r="U9" s="33">
        <v>4.9586080592571697</v>
      </c>
      <c r="V9" s="22"/>
      <c r="W9" s="22"/>
      <c r="X9" s="23"/>
      <c r="Y9" s="20">
        <f t="shared" si="3"/>
        <v>213181.50352299173</v>
      </c>
      <c r="Z9" s="25">
        <f t="shared" si="0"/>
        <v>12.158414359751001</v>
      </c>
    </row>
    <row r="10" spans="1:29" x14ac:dyDescent="0.25">
      <c r="A10" s="3" t="s">
        <v>30</v>
      </c>
      <c r="B10" s="27" t="s">
        <v>25</v>
      </c>
      <c r="C10" s="22"/>
      <c r="D10" s="22"/>
      <c r="E10" s="22"/>
      <c r="F10" s="134"/>
      <c r="G10" s="22"/>
      <c r="H10" s="134"/>
      <c r="I10" s="22"/>
      <c r="J10" s="134"/>
      <c r="K10" s="22"/>
      <c r="L10" s="22"/>
      <c r="M10" s="22"/>
      <c r="N10" s="22"/>
      <c r="O10" s="22"/>
      <c r="P10" s="22"/>
      <c r="Q10" s="22"/>
      <c r="R10" s="22"/>
      <c r="S10" s="20">
        <f t="shared" si="1"/>
        <v>0</v>
      </c>
      <c r="T10" s="21">
        <f t="shared" si="2"/>
        <v>0</v>
      </c>
      <c r="U10" s="22"/>
      <c r="V10" s="22"/>
      <c r="W10" s="22"/>
      <c r="X10" s="23"/>
      <c r="Y10" s="20">
        <f t="shared" si="3"/>
        <v>0</v>
      </c>
      <c r="Z10" s="25">
        <f t="shared" si="0"/>
        <v>0</v>
      </c>
    </row>
    <row r="11" spans="1:29" x14ac:dyDescent="0.25">
      <c r="A11" s="3" t="s">
        <v>31</v>
      </c>
      <c r="B11" s="27" t="s">
        <v>25</v>
      </c>
      <c r="C11" s="22"/>
      <c r="D11" s="22"/>
      <c r="E11" s="22"/>
      <c r="F11" s="134"/>
      <c r="G11" s="22"/>
      <c r="H11" s="134"/>
      <c r="I11" s="22"/>
      <c r="J11" s="134"/>
      <c r="K11" s="22"/>
      <c r="L11" s="22"/>
      <c r="M11" s="22"/>
      <c r="N11" s="22"/>
      <c r="O11" s="22"/>
      <c r="P11" s="22"/>
      <c r="Q11" s="22"/>
      <c r="R11" s="22"/>
      <c r="S11" s="20">
        <f t="shared" si="1"/>
        <v>0</v>
      </c>
      <c r="T11" s="21">
        <f t="shared" si="2"/>
        <v>0</v>
      </c>
      <c r="U11" s="22"/>
      <c r="V11" s="22"/>
      <c r="W11" s="22"/>
      <c r="X11" s="23"/>
      <c r="Y11" s="20">
        <f t="shared" si="3"/>
        <v>0</v>
      </c>
      <c r="Z11" s="25">
        <f t="shared" si="0"/>
        <v>0</v>
      </c>
    </row>
    <row r="12" spans="1:29" x14ac:dyDescent="0.25">
      <c r="A12" s="3" t="s">
        <v>32</v>
      </c>
      <c r="B12" s="27" t="s">
        <v>25</v>
      </c>
      <c r="C12" s="22"/>
      <c r="D12" s="22"/>
      <c r="E12" s="22"/>
      <c r="F12" s="134"/>
      <c r="G12" s="22"/>
      <c r="H12" s="134"/>
      <c r="I12" s="22"/>
      <c r="J12" s="134"/>
      <c r="K12" s="22"/>
      <c r="L12" s="22"/>
      <c r="M12" s="22"/>
      <c r="N12" s="22"/>
      <c r="O12" s="22"/>
      <c r="P12" s="22"/>
      <c r="Q12" s="22"/>
      <c r="R12" s="22"/>
      <c r="S12" s="20">
        <f t="shared" si="1"/>
        <v>0</v>
      </c>
      <c r="T12" s="21">
        <f t="shared" si="2"/>
        <v>0</v>
      </c>
      <c r="U12" s="22"/>
      <c r="V12" s="22"/>
      <c r="W12" s="22"/>
      <c r="X12" s="23"/>
      <c r="Y12" s="20">
        <f t="shared" si="3"/>
        <v>0</v>
      </c>
      <c r="Z12" s="25">
        <f t="shared" si="0"/>
        <v>0</v>
      </c>
    </row>
    <row r="13" spans="1:29" x14ac:dyDescent="0.25">
      <c r="A13" s="28" t="s">
        <v>33</v>
      </c>
      <c r="B13" s="27" t="s">
        <v>25</v>
      </c>
      <c r="C13" s="22"/>
      <c r="D13" s="22"/>
      <c r="E13" s="22"/>
      <c r="F13" s="134"/>
      <c r="G13" s="22"/>
      <c r="H13" s="134"/>
      <c r="I13" s="22"/>
      <c r="J13" s="134"/>
      <c r="K13" s="22"/>
      <c r="L13" s="22"/>
      <c r="M13" s="22"/>
      <c r="N13" s="22"/>
      <c r="O13" s="22"/>
      <c r="P13" s="22"/>
      <c r="Q13" s="22"/>
      <c r="R13" s="22"/>
      <c r="S13" s="20">
        <f t="shared" si="1"/>
        <v>0</v>
      </c>
      <c r="T13" s="21">
        <f t="shared" si="2"/>
        <v>0</v>
      </c>
      <c r="U13" s="22"/>
      <c r="V13" s="22"/>
      <c r="W13" s="22"/>
      <c r="X13" s="23"/>
      <c r="Y13" s="20">
        <f t="shared" si="3"/>
        <v>0</v>
      </c>
      <c r="Z13" s="25">
        <f t="shared" si="0"/>
        <v>0</v>
      </c>
    </row>
    <row r="14" spans="1:29" x14ac:dyDescent="0.25">
      <c r="A14" s="29" t="s">
        <v>34</v>
      </c>
      <c r="B14" s="30" t="s">
        <v>25</v>
      </c>
      <c r="C14" s="22"/>
      <c r="D14" s="22"/>
      <c r="E14" s="22"/>
      <c r="F14" s="134"/>
      <c r="G14" s="22"/>
      <c r="H14" s="134"/>
      <c r="I14" s="22"/>
      <c r="J14" s="134"/>
      <c r="K14" s="22"/>
      <c r="L14" s="22"/>
      <c r="M14" s="22"/>
      <c r="N14" s="22"/>
      <c r="O14" s="22"/>
      <c r="P14" s="22"/>
      <c r="Q14" s="22"/>
      <c r="R14" s="22"/>
      <c r="S14" s="20">
        <f t="shared" si="1"/>
        <v>0</v>
      </c>
      <c r="T14" s="21">
        <f t="shared" si="2"/>
        <v>0</v>
      </c>
      <c r="U14" s="22"/>
      <c r="V14" s="22"/>
      <c r="W14" s="22"/>
      <c r="X14" s="23"/>
      <c r="Y14" s="20">
        <f t="shared" si="3"/>
        <v>0</v>
      </c>
      <c r="Z14" s="25">
        <f t="shared" si="0"/>
        <v>0</v>
      </c>
    </row>
    <row r="15" spans="1:29" x14ac:dyDescent="0.25">
      <c r="A15" s="31" t="s">
        <v>35</v>
      </c>
      <c r="B15" s="18" t="s">
        <v>25</v>
      </c>
      <c r="C15" s="32">
        <v>100</v>
      </c>
      <c r="D15" s="22">
        <v>100</v>
      </c>
      <c r="E15" s="22"/>
      <c r="F15" s="134"/>
      <c r="G15" s="22"/>
      <c r="H15" s="134"/>
      <c r="I15" s="22"/>
      <c r="J15" s="134"/>
      <c r="K15" s="22"/>
      <c r="L15" s="22"/>
      <c r="M15" s="22"/>
      <c r="N15" s="22"/>
      <c r="O15" s="22"/>
      <c r="P15" s="22"/>
      <c r="Q15" s="22"/>
      <c r="R15" s="22"/>
      <c r="S15" s="20">
        <f t="shared" si="1"/>
        <v>855</v>
      </c>
      <c r="T15" s="21">
        <f t="shared" si="2"/>
        <v>7.2731850851217861E-2</v>
      </c>
      <c r="U15" s="22"/>
      <c r="V15" s="33"/>
      <c r="W15" s="33"/>
      <c r="X15" s="23"/>
      <c r="Y15" s="20">
        <f t="shared" si="3"/>
        <v>855</v>
      </c>
      <c r="Z15" s="25">
        <f t="shared" si="0"/>
        <v>4.8763350036444185E-2</v>
      </c>
    </row>
    <row r="16" spans="1:29" x14ac:dyDescent="0.25">
      <c r="A16" s="29" t="s">
        <v>36</v>
      </c>
      <c r="B16" s="30" t="s">
        <v>25</v>
      </c>
      <c r="C16" s="22"/>
      <c r="D16" s="22"/>
      <c r="E16" s="22">
        <v>100</v>
      </c>
      <c r="F16" s="134"/>
      <c r="G16" s="22">
        <v>100</v>
      </c>
      <c r="H16" s="134"/>
      <c r="I16" s="22"/>
      <c r="J16" s="134"/>
      <c r="K16" s="22"/>
      <c r="L16" s="22"/>
      <c r="M16" s="22"/>
      <c r="N16" s="22"/>
      <c r="O16" s="22"/>
      <c r="P16" s="22"/>
      <c r="Q16" s="22"/>
      <c r="R16" s="22"/>
      <c r="S16" s="20">
        <f t="shared" si="1"/>
        <v>54357</v>
      </c>
      <c r="T16" s="21">
        <f t="shared" si="2"/>
        <v>4.6239593178007592</v>
      </c>
      <c r="U16" s="22"/>
      <c r="V16" s="33">
        <v>100</v>
      </c>
      <c r="W16" s="33"/>
      <c r="X16" s="23">
        <v>100</v>
      </c>
      <c r="Y16" s="20">
        <f t="shared" si="3"/>
        <v>141067</v>
      </c>
      <c r="Z16" s="25">
        <f t="shared" si="0"/>
        <v>8.0454964907497928</v>
      </c>
    </row>
    <row r="17" spans="1:27" x14ac:dyDescent="0.25">
      <c r="A17" s="34" t="s">
        <v>37</v>
      </c>
      <c r="B17" s="14" t="s">
        <v>25</v>
      </c>
      <c r="C17" s="22"/>
      <c r="D17" s="22"/>
      <c r="E17" s="22"/>
      <c r="F17" s="134">
        <v>13</v>
      </c>
      <c r="G17" s="22"/>
      <c r="H17" s="134">
        <v>13</v>
      </c>
      <c r="I17" s="22"/>
      <c r="J17" s="134">
        <v>10</v>
      </c>
      <c r="K17" s="134">
        <v>0.94894980710203303</v>
      </c>
      <c r="L17" s="22"/>
      <c r="M17" s="22"/>
      <c r="N17" s="22">
        <v>70</v>
      </c>
      <c r="O17" s="22"/>
      <c r="P17" s="22"/>
      <c r="Q17" s="22">
        <v>90</v>
      </c>
      <c r="R17" s="22"/>
      <c r="S17" s="20">
        <f t="shared" si="1"/>
        <v>98570.084918646302</v>
      </c>
      <c r="T17" s="21">
        <f t="shared" si="2"/>
        <v>8.385011362216213</v>
      </c>
      <c r="U17" s="33">
        <v>3.5103000000000002E-2</v>
      </c>
      <c r="V17" s="22"/>
      <c r="W17" s="22"/>
      <c r="X17" s="23"/>
      <c r="Y17" s="20">
        <f t="shared" si="3"/>
        <v>98742.477506796306</v>
      </c>
      <c r="Z17" s="25">
        <f t="shared" si="0"/>
        <v>5.6315953147714914</v>
      </c>
    </row>
    <row r="18" spans="1:27" x14ac:dyDescent="0.25">
      <c r="A18" s="35" t="s">
        <v>38</v>
      </c>
      <c r="B18" s="204" t="s">
        <v>25</v>
      </c>
      <c r="C18" s="22"/>
      <c r="D18" s="22"/>
      <c r="E18" s="22"/>
      <c r="F18" s="22"/>
      <c r="G18" s="22"/>
      <c r="H18" s="134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0">
        <f t="shared" si="1"/>
        <v>0</v>
      </c>
      <c r="T18" s="21">
        <f t="shared" si="2"/>
        <v>0</v>
      </c>
      <c r="U18" s="33">
        <v>6.2745019065474796</v>
      </c>
      <c r="V18" s="22"/>
      <c r="W18" s="22"/>
      <c r="X18" s="23"/>
      <c r="Y18" s="20">
        <f t="shared" si="3"/>
        <v>30814.392588149996</v>
      </c>
      <c r="Z18" s="25">
        <f t="shared" si="0"/>
        <v>1.7574421192238243</v>
      </c>
    </row>
    <row r="19" spans="1:27" x14ac:dyDescent="0.25">
      <c r="A19" s="37" t="s">
        <v>39</v>
      </c>
      <c r="B19" s="27" t="s">
        <v>25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0">
        <f t="shared" si="1"/>
        <v>0</v>
      </c>
      <c r="T19" s="21">
        <f t="shared" si="2"/>
        <v>0</v>
      </c>
      <c r="U19" s="33">
        <v>5.0259050188037806</v>
      </c>
      <c r="V19" s="22"/>
      <c r="W19" s="22"/>
      <c r="X19" s="23"/>
      <c r="Y19" s="20">
        <f t="shared" si="3"/>
        <v>24682.470842596307</v>
      </c>
      <c r="Z19" s="25">
        <f t="shared" si="0"/>
        <v>1.4077192578501183</v>
      </c>
    </row>
    <row r="20" spans="1:27" x14ac:dyDescent="0.25">
      <c r="A20" s="3" t="s">
        <v>40</v>
      </c>
      <c r="B20" s="27" t="s">
        <v>25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0">
        <f t="shared" si="1"/>
        <v>0</v>
      </c>
      <c r="T20" s="21">
        <f t="shared" si="2"/>
        <v>0</v>
      </c>
      <c r="U20" s="33">
        <v>7.173704863729796</v>
      </c>
      <c r="V20" s="22"/>
      <c r="W20" s="22"/>
      <c r="X20" s="23"/>
      <c r="Y20" s="20">
        <f t="shared" si="3"/>
        <v>35230.423271020212</v>
      </c>
      <c r="Z20" s="25">
        <f t="shared" si="0"/>
        <v>2.0093022946161962</v>
      </c>
    </row>
    <row r="21" spans="1:27" x14ac:dyDescent="0.25">
      <c r="A21" s="3" t="s">
        <v>41</v>
      </c>
      <c r="B21" s="27" t="s">
        <v>25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0">
        <f t="shared" si="1"/>
        <v>0</v>
      </c>
      <c r="T21" s="21">
        <f t="shared" si="2"/>
        <v>0</v>
      </c>
      <c r="U21" s="33">
        <v>1.3322135803748043</v>
      </c>
      <c r="V21" s="22"/>
      <c r="W21" s="22"/>
      <c r="X21" s="23"/>
      <c r="Y21" s="20">
        <f t="shared" si="3"/>
        <v>6542.5675038996824</v>
      </c>
      <c r="Z21" s="25">
        <f t="shared" si="0"/>
        <v>0.37314328576576039</v>
      </c>
    </row>
    <row r="22" spans="1:27" x14ac:dyDescent="0.25">
      <c r="A22" s="3" t="s">
        <v>42</v>
      </c>
      <c r="B22" s="27" t="s">
        <v>25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0">
        <f t="shared" si="1"/>
        <v>0</v>
      </c>
      <c r="T22" s="21">
        <f t="shared" si="2"/>
        <v>0</v>
      </c>
      <c r="U22" s="33">
        <v>35.705643960307114</v>
      </c>
      <c r="V22" s="22"/>
      <c r="W22" s="22"/>
      <c r="X22" s="23"/>
      <c r="Y22" s="20">
        <f t="shared" si="3"/>
        <v>175352.20277126625</v>
      </c>
      <c r="Z22" s="25">
        <f t="shared" si="0"/>
        <v>10.000889875317888</v>
      </c>
    </row>
    <row r="23" spans="1:27" x14ac:dyDescent="0.25">
      <c r="A23" s="3" t="s">
        <v>43</v>
      </c>
      <c r="B23" s="27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0">
        <f t="shared" si="1"/>
        <v>0</v>
      </c>
      <c r="T23" s="21">
        <f t="shared" si="2"/>
        <v>0</v>
      </c>
      <c r="U23" s="33">
        <v>4.3322135803748045</v>
      </c>
      <c r="V23" s="22"/>
      <c r="W23" s="22"/>
      <c r="X23" s="23"/>
      <c r="Y23" s="20">
        <f t="shared" si="3"/>
        <v>21275.717503899683</v>
      </c>
      <c r="Z23" s="25">
        <f t="shared" si="0"/>
        <v>1.2134213566306</v>
      </c>
    </row>
    <row r="24" spans="1:27" x14ac:dyDescent="0.25">
      <c r="A24" s="3" t="s">
        <v>44</v>
      </c>
      <c r="B24" s="27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0">
        <f t="shared" si="1"/>
        <v>0</v>
      </c>
      <c r="T24" s="21">
        <f t="shared" si="2"/>
        <v>0</v>
      </c>
      <c r="U24" s="33">
        <v>3.4408818392503915</v>
      </c>
      <c r="V24" s="22"/>
      <c r="W24" s="22"/>
      <c r="X24" s="23"/>
      <c r="Y24" s="20">
        <f t="shared" si="3"/>
        <v>16898.342756650633</v>
      </c>
      <c r="Z24" s="25">
        <f t="shared" si="0"/>
        <v>0.96376585131972625</v>
      </c>
    </row>
    <row r="25" spans="1:27" x14ac:dyDescent="0.25">
      <c r="A25" s="3" t="s">
        <v>45</v>
      </c>
      <c r="B25" s="27" t="s">
        <v>25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0">
        <f t="shared" si="1"/>
        <v>0</v>
      </c>
      <c r="T25" s="21">
        <f t="shared" si="2"/>
        <v>0</v>
      </c>
      <c r="U25" s="33">
        <v>3.2779509087014604</v>
      </c>
      <c r="V25" s="22"/>
      <c r="W25" s="22"/>
      <c r="X25" s="23"/>
      <c r="Y25" s="20">
        <f t="shared" si="3"/>
        <v>16098.180810178306</v>
      </c>
      <c r="Z25" s="25">
        <f t="shared" si="0"/>
        <v>0.91813008865110346</v>
      </c>
    </row>
    <row r="26" spans="1:27" x14ac:dyDescent="0.25">
      <c r="A26" s="3" t="s">
        <v>46</v>
      </c>
      <c r="B26" s="27" t="s">
        <v>25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0">
        <f t="shared" si="1"/>
        <v>0</v>
      </c>
      <c r="T26" s="21">
        <f t="shared" si="2"/>
        <v>0</v>
      </c>
      <c r="U26" s="33">
        <v>1.3322135803748043</v>
      </c>
      <c r="V26" s="22"/>
      <c r="W26" s="22"/>
      <c r="X26" s="23"/>
      <c r="Y26" s="20">
        <f t="shared" si="3"/>
        <v>6542.5675038996824</v>
      </c>
      <c r="Z26" s="25">
        <f t="shared" si="0"/>
        <v>0.37314328576576039</v>
      </c>
    </row>
    <row r="27" spans="1:27" x14ac:dyDescent="0.25">
      <c r="A27" s="3" t="s">
        <v>47</v>
      </c>
      <c r="B27" s="27" t="s">
        <v>25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0">
        <f t="shared" si="1"/>
        <v>0</v>
      </c>
      <c r="T27" s="21">
        <f t="shared" si="2"/>
        <v>0</v>
      </c>
      <c r="U27" s="33">
        <v>16.933894202266959</v>
      </c>
      <c r="V27" s="22"/>
      <c r="W27" s="22"/>
      <c r="X27" s="23"/>
      <c r="Y27" s="20">
        <f t="shared" si="3"/>
        <v>83163.201122043145</v>
      </c>
      <c r="Z27" s="25">
        <f t="shared" si="0"/>
        <v>4.7430599841700563</v>
      </c>
    </row>
    <row r="28" spans="1:27" x14ac:dyDescent="0.25">
      <c r="A28" s="3" t="s">
        <v>48</v>
      </c>
      <c r="B28" s="27" t="s">
        <v>25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0">
        <f t="shared" si="1"/>
        <v>0</v>
      </c>
      <c r="T28" s="21">
        <f t="shared" si="2"/>
        <v>0</v>
      </c>
      <c r="U28" s="33">
        <v>3.2125141271010706</v>
      </c>
      <c r="V28" s="22"/>
      <c r="W28" s="22"/>
      <c r="X28" s="23"/>
      <c r="Y28" s="20">
        <f t="shared" si="3"/>
        <v>15776.817503899714</v>
      </c>
      <c r="Z28" s="25">
        <f t="shared" si="0"/>
        <v>0.89980172444884376</v>
      </c>
    </row>
    <row r="29" spans="1:27" x14ac:dyDescent="0.25">
      <c r="A29" s="9" t="s">
        <v>49</v>
      </c>
      <c r="B29" s="30" t="s">
        <v>25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>
        <f t="shared" si="1"/>
        <v>0</v>
      </c>
      <c r="T29" s="40">
        <f t="shared" si="2"/>
        <v>0</v>
      </c>
      <c r="U29" s="38"/>
      <c r="V29" s="38"/>
      <c r="W29" s="38"/>
      <c r="X29" s="41"/>
      <c r="Y29" s="39">
        <f t="shared" si="3"/>
        <v>0</v>
      </c>
      <c r="Z29" s="42">
        <f t="shared" si="0"/>
        <v>0</v>
      </c>
    </row>
    <row r="30" spans="1:27" x14ac:dyDescent="0.25">
      <c r="A30" s="43" t="s">
        <v>50</v>
      </c>
      <c r="B30" s="30" t="s">
        <v>25</v>
      </c>
      <c r="C30" s="44">
        <f t="shared" ref="C30:R30" si="4">SUM(C6:C29)</f>
        <v>100</v>
      </c>
      <c r="D30" s="44">
        <f t="shared" si="4"/>
        <v>100</v>
      </c>
      <c r="E30" s="44">
        <f t="shared" si="4"/>
        <v>100</v>
      </c>
      <c r="F30" s="44">
        <f>SUM(F6:F29)</f>
        <v>100</v>
      </c>
      <c r="G30" s="44">
        <f t="shared" si="4"/>
        <v>100</v>
      </c>
      <c r="H30" s="44">
        <f t="shared" si="4"/>
        <v>100</v>
      </c>
      <c r="I30" s="44">
        <f t="shared" si="4"/>
        <v>0</v>
      </c>
      <c r="J30" s="44">
        <f t="shared" si="4"/>
        <v>100</v>
      </c>
      <c r="K30" s="44">
        <f t="shared" si="4"/>
        <v>99.999999915817824</v>
      </c>
      <c r="L30" s="44">
        <f t="shared" si="4"/>
        <v>0</v>
      </c>
      <c r="M30" s="44">
        <f t="shared" si="4"/>
        <v>0</v>
      </c>
      <c r="N30" s="44">
        <f t="shared" si="4"/>
        <v>100</v>
      </c>
      <c r="O30" s="44">
        <f t="shared" si="4"/>
        <v>0</v>
      </c>
      <c r="P30" s="44">
        <f t="shared" si="4"/>
        <v>0</v>
      </c>
      <c r="Q30" s="44">
        <f t="shared" si="4"/>
        <v>100</v>
      </c>
      <c r="R30" s="44">
        <f t="shared" si="4"/>
        <v>0</v>
      </c>
      <c r="S30" s="20">
        <f>+SUM(S6:S29)</f>
        <v>1175550.9998091355</v>
      </c>
      <c r="T30" s="20">
        <f>+SUM(T6:T29)</f>
        <v>99.9999999837638</v>
      </c>
      <c r="U30" s="44">
        <f>SUM(U6:U29)</f>
        <v>100.00000771930564</v>
      </c>
      <c r="V30" s="44">
        <f t="shared" ref="V30:W30" si="5">SUM(V6:V29)</f>
        <v>100</v>
      </c>
      <c r="W30" s="44">
        <f t="shared" si="5"/>
        <v>0</v>
      </c>
      <c r="X30" s="44">
        <f>SUM(X6:X29)</f>
        <v>100</v>
      </c>
      <c r="Y30" s="39">
        <f>SUM(Y6:Y29)</f>
        <v>1753366.0377190316</v>
      </c>
      <c r="Z30" s="42">
        <f>SUM(Z6:Z29)</f>
        <v>100.00000215123549</v>
      </c>
    </row>
    <row r="31" spans="1:27" ht="15.75" thickBot="1" x14ac:dyDescent="0.3">
      <c r="A31" s="45" t="s">
        <v>51</v>
      </c>
      <c r="B31" s="46" t="s">
        <v>24</v>
      </c>
      <c r="C31" s="47">
        <v>796</v>
      </c>
      <c r="D31" s="47">
        <v>59</v>
      </c>
      <c r="E31" s="47">
        <v>2891</v>
      </c>
      <c r="F31" s="47">
        <v>17084</v>
      </c>
      <c r="G31" s="47">
        <v>51466</v>
      </c>
      <c r="H31" s="47">
        <v>111171</v>
      </c>
      <c r="I31" s="47">
        <v>0</v>
      </c>
      <c r="J31" s="47">
        <v>761322</v>
      </c>
      <c r="K31" s="47">
        <v>226728</v>
      </c>
      <c r="L31" s="47">
        <v>0</v>
      </c>
      <c r="M31" s="47">
        <v>0</v>
      </c>
      <c r="N31" s="47">
        <v>87</v>
      </c>
      <c r="O31" s="47">
        <v>0</v>
      </c>
      <c r="P31" s="47">
        <v>0</v>
      </c>
      <c r="Q31" s="47">
        <v>3947</v>
      </c>
      <c r="R31" s="47">
        <v>0</v>
      </c>
      <c r="S31" s="48">
        <f>SUM(C31:R31)</f>
        <v>1175551</v>
      </c>
      <c r="T31" s="48">
        <f>S31*100/$S$31</f>
        <v>100</v>
      </c>
      <c r="U31" s="47">
        <v>491105</v>
      </c>
      <c r="V31" s="47">
        <v>56068</v>
      </c>
      <c r="W31" s="47">
        <v>0</v>
      </c>
      <c r="X31" s="47">
        <v>30642</v>
      </c>
      <c r="Y31" s="48">
        <f>+S31+U31+V31+W31+X31</f>
        <v>1753366</v>
      </c>
      <c r="Z31" s="48">
        <f>Y31*100/$Y$31</f>
        <v>100</v>
      </c>
      <c r="AA31" s="49"/>
    </row>
    <row r="32" spans="1:27" ht="15.75" thickTop="1" x14ac:dyDescent="0.25">
      <c r="A32" s="50" t="s">
        <v>52</v>
      </c>
      <c r="B32" s="51" t="s">
        <v>24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2"/>
      <c r="T32" s="52"/>
      <c r="U32" s="12"/>
      <c r="V32" s="12"/>
      <c r="W32" s="12"/>
      <c r="X32" s="53"/>
      <c r="Y32" s="39">
        <v>68670</v>
      </c>
      <c r="Z32" s="54"/>
    </row>
    <row r="33" spans="1:25" x14ac:dyDescent="0.25">
      <c r="A33" s="55"/>
      <c r="S33" s="1"/>
    </row>
    <row r="34" spans="1:25" x14ac:dyDescent="0.25">
      <c r="A34" s="56" t="s">
        <v>53</v>
      </c>
      <c r="B34" s="57"/>
      <c r="C34" s="57"/>
      <c r="D34" s="57"/>
      <c r="E34" s="57"/>
      <c r="F34" s="58"/>
      <c r="G34" s="10"/>
    </row>
    <row r="35" spans="1:25" x14ac:dyDescent="0.25">
      <c r="A35" s="59" t="s">
        <v>54</v>
      </c>
      <c r="B35" s="22"/>
      <c r="C35" s="22"/>
      <c r="D35" s="22"/>
      <c r="E35" s="22"/>
      <c r="F35" s="23"/>
      <c r="G35" s="10"/>
    </row>
    <row r="36" spans="1:25" x14ac:dyDescent="0.25">
      <c r="A36" s="59" t="s">
        <v>56</v>
      </c>
      <c r="B36" s="22"/>
      <c r="C36" s="22"/>
      <c r="D36" s="22"/>
      <c r="E36" s="22"/>
      <c r="F36" s="23"/>
      <c r="G36" s="10"/>
    </row>
    <row r="37" spans="1:25" x14ac:dyDescent="0.25">
      <c r="A37" s="11" t="s">
        <v>57</v>
      </c>
      <c r="B37" s="38"/>
      <c r="C37" s="38"/>
      <c r="D37" s="38"/>
      <c r="E37" s="38"/>
      <c r="F37" s="41"/>
      <c r="G37" s="10"/>
    </row>
    <row r="38" spans="1:25" x14ac:dyDescent="0.25">
      <c r="A38" t="s">
        <v>58</v>
      </c>
      <c r="G38" s="10"/>
    </row>
    <row r="39" spans="1:25" ht="18.75" x14ac:dyDescent="0.3">
      <c r="A39" s="60"/>
      <c r="B39" s="61"/>
      <c r="G39" s="10"/>
    </row>
    <row r="40" spans="1:25" ht="18.75" x14ac:dyDescent="0.3">
      <c r="A40" s="60"/>
      <c r="B40" s="61"/>
    </row>
    <row r="41" spans="1:25" ht="18.75" x14ac:dyDescent="0.3">
      <c r="B41" s="61"/>
    </row>
    <row r="42" spans="1:25" x14ac:dyDescent="0.25">
      <c r="A42" s="10" t="s">
        <v>96</v>
      </c>
      <c r="C42" s="62" t="s">
        <v>97</v>
      </c>
      <c r="D42" s="62"/>
      <c r="E42" s="62"/>
    </row>
    <row r="43" spans="1:25" x14ac:dyDescent="0.25">
      <c r="A43" s="62" t="s">
        <v>109</v>
      </c>
      <c r="B43" s="62" t="s">
        <v>98</v>
      </c>
      <c r="C43" s="63">
        <v>1753368</v>
      </c>
      <c r="D43" s="63"/>
      <c r="E43" s="63"/>
      <c r="F43" s="64"/>
      <c r="G43" s="64"/>
    </row>
    <row r="44" spans="1:25" ht="18.75" x14ac:dyDescent="0.3">
      <c r="A44" s="60"/>
      <c r="B44" s="61"/>
    </row>
    <row r="45" spans="1:25" ht="18.75" x14ac:dyDescent="0.3">
      <c r="A45" s="60"/>
      <c r="B45" s="61"/>
      <c r="C45">
        <v>796</v>
      </c>
      <c r="D45">
        <v>59</v>
      </c>
      <c r="E45">
        <v>2891</v>
      </c>
      <c r="F45">
        <v>17084</v>
      </c>
      <c r="G45">
        <v>51466</v>
      </c>
      <c r="H45">
        <v>111171</v>
      </c>
      <c r="I45">
        <v>0</v>
      </c>
      <c r="J45">
        <v>761322</v>
      </c>
      <c r="K45">
        <v>226728</v>
      </c>
      <c r="L45">
        <v>0</v>
      </c>
      <c r="M45">
        <v>0</v>
      </c>
      <c r="N45">
        <v>87</v>
      </c>
      <c r="O45">
        <v>0</v>
      </c>
      <c r="P45">
        <v>0</v>
      </c>
      <c r="Q45">
        <v>3947</v>
      </c>
      <c r="R45">
        <v>0</v>
      </c>
      <c r="U45">
        <v>491105</v>
      </c>
      <c r="V45">
        <v>56068</v>
      </c>
      <c r="W45">
        <v>0</v>
      </c>
      <c r="X45">
        <v>30642</v>
      </c>
      <c r="Y45">
        <f>SUM(C45:X45)</f>
        <v>1753366</v>
      </c>
    </row>
    <row r="48" spans="1:25" x14ac:dyDescent="0.25">
      <c r="X48" s="81"/>
    </row>
  </sheetData>
  <mergeCells count="3">
    <mergeCell ref="A1:Z2"/>
    <mergeCell ref="S4:T4"/>
    <mergeCell ref="Y4:Z4"/>
  </mergeCells>
  <pageMargins left="0.28000000000000003" right="0.23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2</vt:i4>
      </vt:variant>
    </vt:vector>
  </HeadingPairs>
  <TitlesOfParts>
    <vt:vector size="65" baseType="lpstr">
      <vt:lpstr>skabelon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sum per energiart</vt:lpstr>
      <vt:lpstr>sum per slutanv</vt:lpstr>
      <vt:lpstr>ind</vt:lpstr>
      <vt:lpstr>hs</vt:lpstr>
      <vt:lpstr>aggrerede brancher</vt:lpstr>
      <vt:lpstr>'19'!Print_Area</vt:lpstr>
      <vt:lpstr>'sum per slutanv'!Print_Area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Hedelund Sørensen</dc:creator>
  <cp:lastModifiedBy>Helge V. Larsen</cp:lastModifiedBy>
  <cp:lastPrinted>2015-01-07T10:43:04Z</cp:lastPrinted>
  <dcterms:created xsi:type="dcterms:W3CDTF">2014-11-11T10:14:29Z</dcterms:created>
  <dcterms:modified xsi:type="dcterms:W3CDTF">2015-02-10T13:05:54Z</dcterms:modified>
</cp:coreProperties>
</file>